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760" activeTab="0"/>
  </bookViews>
  <sheets>
    <sheet name="Milan" sheetId="1" r:id="rId1"/>
    <sheet name="Tokyo" sheetId="2" r:id="rId2"/>
    <sheet name="Texas" sheetId="3" r:id="rId3"/>
    <sheet name="Texas (крепежн. вкладыш)" sheetId="4" r:id="rId4"/>
    <sheet name="Palermo" sheetId="5" r:id="rId5"/>
    <sheet name="Данные" sheetId="6" state="veryHidden" r:id="rId6"/>
    <sheet name="Цены Жалюзи" sheetId="7" r:id="rId7"/>
  </sheets>
  <definedNames>
    <definedName name="Belarus">0.048</definedName>
    <definedName name="BTYPS">'Данные'!$A$154:$A$157</definedName>
    <definedName name="CBUAQ">'Данные'!$A$163:$A$189</definedName>
    <definedName name="CCCMT">'Данные'!$A$64:$A$65</definedName>
    <definedName name="CEXUI">'Данные'!$A$154:$A$157</definedName>
    <definedName name="DYRFP">'Данные'!$B$5:$B$31</definedName>
    <definedName name="FIGQB">'Данные'!$A$42:$A$59</definedName>
    <definedName name="FYLTY">'Данные'!$A$75:$A$116</definedName>
    <definedName name="GQIBE">'Данные'!$A$35:$A$40</definedName>
    <definedName name="GURGW">'Данные'!$B$5:$B$31</definedName>
    <definedName name="IANCJ">'Данные'!$A$154:$A$157</definedName>
    <definedName name="IQDLQ">'Данные'!$A$5:$A$28</definedName>
    <definedName name="JJEDD">'Данные'!$A$5:$A$28</definedName>
    <definedName name="JSLDC">'Данные'!$B$5:$B$31</definedName>
    <definedName name="KPHTG">'Данные'!$A$163:$A$189</definedName>
    <definedName name="LHMNL">'Данные'!$A$75:$A$116</definedName>
    <definedName name="MilType">'Данные'!$F$5:$F$6</definedName>
    <definedName name="MRGOJ">'Данные'!$A$5:$A$28</definedName>
    <definedName name="MUGNQ">'Данные'!$A$154:$A$157</definedName>
    <definedName name="OGGLT">'Данные'!$A$35:$A$40</definedName>
    <definedName name="PSAXR">'Данные'!$A$35:$A$40</definedName>
    <definedName name="QPAFE">'Данные'!$A$42:$A$59</definedName>
    <definedName name="RCUTI">'Данные'!$A$163:$A$189</definedName>
    <definedName name="RRWVS">'Данные'!$A$121:$A$124</definedName>
    <definedName name="RWIPI">'Данные'!$A$67:$A$69</definedName>
    <definedName name="SACMX">'Данные'!$A$75:$A$116</definedName>
    <definedName name="TAYYL">'Данные'!$A$35:$A$40</definedName>
    <definedName name="TexasType">'Данные'!#REF!</definedName>
    <definedName name="TokyoType">'Данные'!$G$5:$G$6</definedName>
    <definedName name="TTAIM">'Данные'!$A$163:$A$189</definedName>
    <definedName name="VNIHD">'Данные'!$A$42:$A$59</definedName>
    <definedName name="VNVOX">'Данные'!$A$129:$A$150</definedName>
    <definedName name="WHMSA">'Данные'!$A$42:$A$59</definedName>
    <definedName name="XCECV">'Данные'!$A$75:$A$116</definedName>
    <definedName name="XLPKA">'Цены Жалюзи'!$B$37:$B$61</definedName>
    <definedName name="XODFC">'Данные'!$B$5:$B$31</definedName>
    <definedName name="YAWAO">'Данные'!$A$5:$A$28</definedName>
    <definedName name="Z_A22E8694_B07B_4E99_AA25_83A76CC13B05_.wvu.PrintArea" localSheetId="0" hidden="1">'Milan'!$A$2:$O$118</definedName>
    <definedName name="Z_A22E8694_B07B_4E99_AA25_83A76CC13B05_.wvu.PrintArea" localSheetId="4" hidden="1">'Palermo'!$A$2:$O$103</definedName>
    <definedName name="Z_A22E8694_B07B_4E99_AA25_83A76CC13B05_.wvu.PrintArea" localSheetId="2" hidden="1">'Texas'!$A$2:$O$124</definedName>
    <definedName name="Z_A22E8694_B07B_4E99_AA25_83A76CC13B05_.wvu.PrintArea" localSheetId="3" hidden="1">'Texas (крепежн. вкладыш)'!$A$2:$O$127</definedName>
    <definedName name="Z_A22E8694_B07B_4E99_AA25_83A76CC13B05_.wvu.PrintArea" localSheetId="1" hidden="1">'Tokyo'!$A$2:$O$115</definedName>
    <definedName name="Z_A22E8694_B07B_4E99_AA25_83A76CC13B05_.wvu.PrintArea" localSheetId="6" hidden="1">'Цены Жалюзи'!$A$2:$Z$85</definedName>
    <definedName name="Z_F69A7076_9F1C_4D95_80EA_B4A9F6043254_.wvu.PrintArea" localSheetId="0" hidden="1">'Milan'!$A$2:$O$118</definedName>
    <definedName name="Z_F69A7076_9F1C_4D95_80EA_B4A9F6043254_.wvu.PrintArea" localSheetId="4" hidden="1">'Palermo'!$A$2:$O$103</definedName>
    <definedName name="Z_F69A7076_9F1C_4D95_80EA_B4A9F6043254_.wvu.PrintArea" localSheetId="2" hidden="1">'Texas'!$A$2:$O$124</definedName>
    <definedName name="Z_F69A7076_9F1C_4D95_80EA_B4A9F6043254_.wvu.PrintArea" localSheetId="3" hidden="1">'Texas (крепежн. вкладыш)'!$A$2:$O$127</definedName>
    <definedName name="Z_F69A7076_9F1C_4D95_80EA_B4A9F6043254_.wvu.PrintArea" localSheetId="1" hidden="1">'Tokyo'!$A$2:$O$115</definedName>
    <definedName name="Z_F69A7076_9F1C_4D95_80EA_B4A9F6043254_.wvu.PrintArea" localSheetId="6" hidden="1">'Цены Жалюзи'!$A$2:$Z$85</definedName>
    <definedName name="_xlnm.Print_Area" localSheetId="0">'Milan'!$A$2:$I$131</definedName>
    <definedName name="_xlnm.Print_Area" localSheetId="4">'Palermo'!$A$2:$I$104</definedName>
    <definedName name="_xlnm.Print_Area" localSheetId="2">'Texas'!$A$2:$I$159</definedName>
    <definedName name="_xlnm.Print_Area" localSheetId="3">'Texas (крепежн. вкладыш)'!$A$2:$I$162</definedName>
    <definedName name="_xlnm.Print_Area" localSheetId="1">'Tokyo'!$A$2:$I$128</definedName>
  </definedNames>
  <calcPr fullCalcOnLoad="1"/>
</workbook>
</file>

<file path=xl/sharedStrings.xml><?xml version="1.0" encoding="utf-8"?>
<sst xmlns="http://schemas.openxmlformats.org/spreadsheetml/2006/main" count="2013" uniqueCount="380">
  <si>
    <t>Цена, руб./п.м.</t>
  </si>
  <si>
    <t>Цена, руб./шт.</t>
  </si>
  <si>
    <r>
      <rPr>
        <b/>
        <sz val="10"/>
        <rFont val="Arial"/>
        <family val="2"/>
      </rPr>
      <t xml:space="preserve">Сторона </t>
    </r>
    <r>
      <rPr>
        <b/>
        <sz val="10"/>
        <color indexed="60"/>
        <rFont val="Arial"/>
        <family val="2"/>
      </rPr>
      <t>№1</t>
    </r>
  </si>
  <si>
    <r>
      <rPr>
        <b/>
        <sz val="10"/>
        <rFont val="Arial"/>
        <family val="2"/>
      </rPr>
      <t xml:space="preserve">Сторона </t>
    </r>
    <r>
      <rPr>
        <b/>
        <sz val="10"/>
        <color indexed="60"/>
        <rFont val="Arial"/>
        <family val="2"/>
      </rPr>
      <t>№2</t>
    </r>
  </si>
  <si>
    <r>
      <rPr>
        <b/>
        <sz val="10"/>
        <rFont val="Arial"/>
        <family val="2"/>
      </rPr>
      <t xml:space="preserve">Сторона </t>
    </r>
    <r>
      <rPr>
        <b/>
        <sz val="10"/>
        <color indexed="60"/>
        <rFont val="Arial"/>
        <family val="2"/>
      </rPr>
      <t>№3</t>
    </r>
  </si>
  <si>
    <r>
      <rPr>
        <b/>
        <sz val="10"/>
        <rFont val="Arial"/>
        <family val="2"/>
      </rPr>
      <t xml:space="preserve">Сторона </t>
    </r>
    <r>
      <rPr>
        <b/>
        <sz val="10"/>
        <color indexed="60"/>
        <rFont val="Arial"/>
        <family val="2"/>
      </rPr>
      <t>№4</t>
    </r>
  </si>
  <si>
    <t>Цена</t>
  </si>
  <si>
    <t>Декоративная накладка</t>
  </si>
  <si>
    <t>Декоративная накладка угловая</t>
  </si>
  <si>
    <t>Крепежная планка</t>
  </si>
  <si>
    <t>Крышка 65х40</t>
  </si>
  <si>
    <t>Крышка 65х60 (для ворот и калиток)</t>
  </si>
  <si>
    <t>Стойка 60х40</t>
  </si>
  <si>
    <t>Нащельник жалюзи 25х35</t>
  </si>
  <si>
    <t>Шаблон (для монтажа), 1 шт.</t>
  </si>
  <si>
    <t>Размер</t>
  </si>
  <si>
    <t>Кол-во</t>
  </si>
  <si>
    <t>Возможные размеры (м):</t>
  </si>
  <si>
    <t>(L 0,5-3)</t>
  </si>
  <si>
    <t>(L 0,58-3)</t>
  </si>
  <si>
    <t>(L1,68)</t>
  </si>
  <si>
    <t>(L2,0)</t>
  </si>
  <si>
    <t>Двусторонние покрытия и покрытия с технологией TwinColor</t>
  </si>
  <si>
    <t>Print-double Elite</t>
  </si>
  <si>
    <t>Print Elite</t>
  </si>
  <si>
    <t xml:space="preserve">Декоративная накладка угловая </t>
  </si>
  <si>
    <t>Print-double Premium</t>
  </si>
  <si>
    <t xml:space="preserve">Шаблон (для монтажа) 2шт/1заказ </t>
  </si>
  <si>
    <t>-</t>
  </si>
  <si>
    <t>Quarzit</t>
  </si>
  <si>
    <t>Quarzit lite</t>
  </si>
  <si>
    <t xml:space="preserve">Стойки </t>
  </si>
  <si>
    <t>Velur</t>
  </si>
  <si>
    <t xml:space="preserve">PE двс </t>
  </si>
  <si>
    <t>Саморезы</t>
  </si>
  <si>
    <r>
      <t xml:space="preserve">Односторонние покрытия
</t>
    </r>
    <r>
      <rPr>
        <sz val="10"/>
        <color indexed="10"/>
        <rFont val="Arial"/>
        <family val="2"/>
      </rPr>
      <t>(цвет обратной стороны забора не совпадает с цветом лицевой стороны)</t>
    </r>
  </si>
  <si>
    <t>Саморезы ПШ</t>
  </si>
  <si>
    <t>4,2x16</t>
  </si>
  <si>
    <t>GreenCoat Pural BT</t>
  </si>
  <si>
    <t>Калитки</t>
  </si>
  <si>
    <t>Калитка 1,68х1</t>
  </si>
  <si>
    <t>PurLite Matt</t>
  </si>
  <si>
    <t>Калитка 2,0х1</t>
  </si>
  <si>
    <t>Ворота</t>
  </si>
  <si>
    <t>Satin Matt</t>
  </si>
  <si>
    <t>Распашные 1,68х3,6</t>
  </si>
  <si>
    <t>Распашные 2,0х3,6</t>
  </si>
  <si>
    <t>Откатные 1,68х3,5</t>
  </si>
  <si>
    <t>Satin</t>
  </si>
  <si>
    <t>Откатные 1,68х4,0</t>
  </si>
  <si>
    <t>PE 0,8</t>
  </si>
  <si>
    <t>Откатные 1,68х4,5</t>
  </si>
  <si>
    <t>PE 0,7</t>
  </si>
  <si>
    <t>Откатные 2,0х3,5</t>
  </si>
  <si>
    <t>PE 0,45</t>
  </si>
  <si>
    <t>Откатные 2,0х4,0</t>
  </si>
  <si>
    <t>Цинк</t>
  </si>
  <si>
    <t>Цинк 0,5</t>
  </si>
  <si>
    <t>Откатные 2,0х4,5</t>
  </si>
  <si>
    <t>Цинк 0,55</t>
  </si>
  <si>
    <t>Откатные на кирпич столб 1,68х3,5</t>
  </si>
  <si>
    <t>Примечания</t>
  </si>
  <si>
    <t>Рекомендуется выбирать двусторонние покрытия и покрытия с технологией TwinColor.</t>
  </si>
  <si>
    <t>Откатные на кирпич столб 1,68х4,0</t>
  </si>
  <si>
    <t>Откатные на кирпич столб 1,68х4,5</t>
  </si>
  <si>
    <t>Сторона забора</t>
  </si>
  <si>
    <t>Наименование</t>
  </si>
  <si>
    <t>Заполнение</t>
  </si>
  <si>
    <t>Высота х Ширина, м</t>
  </si>
  <si>
    <t>Цена, руб.</t>
  </si>
  <si>
    <t>Откатные на кирпич столб 2,0х3,5</t>
  </si>
  <si>
    <t>№1</t>
  </si>
  <si>
    <t>№2</t>
  </si>
  <si>
    <t>№3</t>
  </si>
  <si>
    <t>№4</t>
  </si>
  <si>
    <t>без заполнения</t>
  </si>
  <si>
    <t>1,68х1,0</t>
  </si>
  <si>
    <t>Откатные на кирпич столб 2,0х4,0</t>
  </si>
  <si>
    <t>2,0х1,0</t>
  </si>
  <si>
    <t>Откатные на кирпич столб 2,0х4,5</t>
  </si>
  <si>
    <t>Ширина между столбов, м (от 0,5 до 3 м, с шагом 1 см), м</t>
  </si>
  <si>
    <t>1,68х3,6</t>
  </si>
  <si>
    <t>Заполнение калиток</t>
  </si>
  <si>
    <t>Кол-во секций, шт</t>
  </si>
  <si>
    <t>2,0х3,6</t>
  </si>
  <si>
    <r>
      <t>Количество углов 90</t>
    </r>
    <r>
      <rPr>
        <vertAlign val="superscript"/>
        <sz val="10"/>
        <rFont val="Arial"/>
        <family val="2"/>
      </rPr>
      <t>о</t>
    </r>
  </si>
  <si>
    <t>1,68х3,5</t>
  </si>
  <si>
    <r>
      <t>Количеств углов отличающихся от 90</t>
    </r>
    <r>
      <rPr>
        <vertAlign val="superscript"/>
        <sz val="10"/>
        <rFont val="Arial"/>
        <family val="2"/>
      </rPr>
      <t>о</t>
    </r>
  </si>
  <si>
    <t>1,68х4,0</t>
  </si>
  <si>
    <t xml:space="preserve">Крышки 65х60 </t>
  </si>
  <si>
    <t>Кирпичные столбы</t>
  </si>
  <si>
    <t>нет</t>
  </si>
  <si>
    <t>1,68х4,5</t>
  </si>
  <si>
    <t>2,0х3,5</t>
  </si>
  <si>
    <t>Нащельник 1,68</t>
  </si>
  <si>
    <t>Ворота Жалюзи</t>
  </si>
  <si>
    <t>2,0х4,0</t>
  </si>
  <si>
    <t>Нащельник 2,0</t>
  </si>
  <si>
    <t>2,0х4,5</t>
  </si>
  <si>
    <t>Заполнение ворот</t>
  </si>
  <si>
    <t>Если геометрия забора подразумевает наличие углов, отличных от 90 градусов, для каждого такого угла - необходим дополнительный столб (калькулятор считает, добавлять вручную не нужно)</t>
  </si>
  <si>
    <t>Максимально возможная длина крышки 60х40 – 3 м. Для ламелей длиной более 2,87 метров – используется крышка длиной 3м и будут необходимы заглушки для столба.</t>
  </si>
  <si>
    <t>Стандартные цвета ворот и калиток жалюзи: RAL 6005, 7024, 8017 (срок изготовления - стандартный).
Нестандартные цвета (по цене стандартных): RAL 3005, RR32 (срок изготовления - уточняйте у менеджера).
Цену и возможность изготовления в других цветах уточняйте у менеджера.</t>
  </si>
  <si>
    <t>Цвет</t>
  </si>
  <si>
    <t>Цена, руб/шт</t>
  </si>
  <si>
    <t>Цена, упаковка</t>
  </si>
  <si>
    <t>Саморезы ПШ 4,2х16</t>
  </si>
  <si>
    <t>Zn</t>
  </si>
  <si>
    <t>RAL</t>
  </si>
  <si>
    <t>Саморезы 5,5х19М бур. №3</t>
  </si>
  <si>
    <t>Шуруп по бетону 7,5х52</t>
  </si>
  <si>
    <t xml:space="preserve">желт.цинк   </t>
  </si>
  <si>
    <t>Дюбель-U 10х61 (полипропилен)</t>
  </si>
  <si>
    <t>Комплект ворот и калиток:
Ворота: 2 створки, 2 столба, регулируемые петли (угол открывания 180°), замок Locinox, ответная планка, 2 ригеля Locinox.
Калитка: 1 створка, 2 столба, регулируемые петли (угол открывания 180°), ответная планка, замок Locinox.
В комплект ворот заполнение не входит. 
Комплект откатных ворот 
1. Рама ворот составная без заполнения для удобства транспортировки.
2. 2 опорных столба П-образных 60*60.
3. Роликовая система (Alutech для откатных ворот), в которую входят опоры роликовые 2шт, шина направляющая, ролик опорный, улавливатель нижний, улавливатель верхний, шина с поддерживающими роликами, подставка для роликовых опор 2шт, заглушка балки торцевая, анкерные болты.
В комплект ворот заполнение не входит (приобретается отдельно) 
Комплект откатных ворот на готовые столбы 
1. Рама ворот составная без заполнения для удобства транспортировки.
2. Кронштейн крепления нижнего и верхнего ловителей - 2шт, Кронштейн крепления поддерживающих роликов - 1 шт.
3. Роликовая система (Alutech для откатных ворот), в которую входят опоры роликовые 2шт, шина направляющая, ролик опорный, улавливатель нижний, улавливатель верхний, шина с поддерживающими роликами, подставка для роликовых опор 2шт, заглушка балки торцевая, анкерные болты.
Отдельно приобретать кронштейны для кирпичных столбов не нужно (входит в п.2 комплекта)
В комплект ворот заполнение не входит (приобретается отдельно)</t>
  </si>
  <si>
    <t>Ваша скидка</t>
  </si>
  <si>
    <t>Возможная высота</t>
  </si>
  <si>
    <t>Калитки Жалюзи</t>
  </si>
  <si>
    <t xml:space="preserve">Ламели размер </t>
  </si>
  <si>
    <t>Стойки размер</t>
  </si>
  <si>
    <t>Крышки 65х60 размер</t>
  </si>
  <si>
    <t>Ламель лицевая 125</t>
  </si>
  <si>
    <t>Ламель обратная 125</t>
  </si>
  <si>
    <t>Ламель лицевая 150</t>
  </si>
  <si>
    <t>Ламель обратная 150</t>
  </si>
  <si>
    <t>Крышка 30х15</t>
  </si>
  <si>
    <t>Крышка 30х20</t>
  </si>
  <si>
    <t>Стойка</t>
  </si>
  <si>
    <t>Зазор между планками</t>
  </si>
  <si>
    <t>Односторонние покрытия</t>
  </si>
  <si>
    <t>Саморезы ПШС</t>
  </si>
  <si>
    <t>PurPro Matt</t>
  </si>
  <si>
    <t>Саморезы ПШС 4,2х16</t>
  </si>
  <si>
    <t>Вид забора (ширина ламелей)</t>
  </si>
  <si>
    <t>Величина свободного зазора между ламелями*</t>
  </si>
  <si>
    <t>Высота, м</t>
  </si>
  <si>
    <t>Кол-во ламелей 125</t>
  </si>
  <si>
    <t>Зазор  125</t>
  </si>
  <si>
    <t>Кол-во ламелей 150</t>
  </si>
  <si>
    <t>Зазор 150</t>
  </si>
  <si>
    <t>зазор меньше</t>
  </si>
  <si>
    <t>зазор  больше</t>
  </si>
  <si>
    <t>Drap 0,45</t>
  </si>
  <si>
    <t xml:space="preserve">GreenCoat Pural BT, matt </t>
  </si>
  <si>
    <t>Ламель лицевая 150 (для калиток и ворот)</t>
  </si>
  <si>
    <t>Ламель обратная 150 (для калиток и ворот)</t>
  </si>
  <si>
    <t>Стойка (для калиток и ворот)</t>
  </si>
  <si>
    <t>Калитка 1,5х1</t>
  </si>
  <si>
    <t>Калитка 1,8х1</t>
  </si>
  <si>
    <t>(L 0,83)</t>
  </si>
  <si>
    <t>см. каль-тор</t>
  </si>
  <si>
    <t>Tokyo</t>
  </si>
  <si>
    <t>кол-во</t>
  </si>
  <si>
    <t xml:space="preserve">Крышка 65х40 </t>
  </si>
  <si>
    <t>Столб 62х55</t>
  </si>
  <si>
    <t>Ламель жалюзи Milan</t>
  </si>
  <si>
    <t>Ограждения жалюзи</t>
  </si>
  <si>
    <t>Основные элементы ограждений жалюзи Texas</t>
  </si>
  <si>
    <t>Заполнение калиток и ворот Texas</t>
  </si>
  <si>
    <t>Столбы и саморезы для ограждений жалюзи приобретаются отдельно.</t>
  </si>
  <si>
    <t>Входные группы к огражениям жалюзи</t>
  </si>
  <si>
    <t>Элементы ограждений жалюзи</t>
  </si>
  <si>
    <t>Ворота Texas</t>
  </si>
  <si>
    <t>Калитки Texas</t>
  </si>
  <si>
    <t>Цена, руб./шт</t>
  </si>
  <si>
    <t>(L1,5)</t>
  </si>
  <si>
    <t>(L1,8)</t>
  </si>
  <si>
    <t>Нащельник 125 (для калиток и ворот) 25х35</t>
  </si>
  <si>
    <t>Нащельник 150 (для калиток и ворот) 25х35</t>
  </si>
  <si>
    <t>Нащельник 125 (L 1,5)</t>
  </si>
  <si>
    <t>Нащельник 125 (L 1,8)</t>
  </si>
  <si>
    <t>Нащельник 125 (L 2,0)</t>
  </si>
  <si>
    <t>Нащельник 150 (L 1,5)</t>
  </si>
  <si>
    <t>Нащельник 150 (L 1,8)</t>
  </si>
  <si>
    <t>Нащельник 150 (L 2,0)</t>
  </si>
  <si>
    <t>4,0х10</t>
  </si>
  <si>
    <t>ПШС</t>
  </si>
  <si>
    <t>Заклепка вытяжная 4,0х10</t>
  </si>
  <si>
    <t>Al, RAL</t>
  </si>
  <si>
    <t>Входные группы к ограждениям жалюзи Milan и Tokyo</t>
  </si>
  <si>
    <t>Входные группы к ограждениям жалюзи Texas</t>
  </si>
  <si>
    <t>1,5х1,0</t>
  </si>
  <si>
    <t>1,8х1,0</t>
  </si>
  <si>
    <t>1,5х3,6</t>
  </si>
  <si>
    <t>1,8х3,6</t>
  </si>
  <si>
    <t>Калитка жалюзи</t>
  </si>
  <si>
    <t>Ворота жалюзи распашные</t>
  </si>
  <si>
    <t>Ворота жалюзи откатные</t>
  </si>
  <si>
    <t>Ворота жалюзи откатные на кирпичные столбы</t>
  </si>
  <si>
    <t>1,5х3,5</t>
  </si>
  <si>
    <t>1,5х4,0</t>
  </si>
  <si>
    <t>1,5х4,5</t>
  </si>
  <si>
    <t>1,8х3,5</t>
  </si>
  <si>
    <t>1,8х4,0</t>
  </si>
  <si>
    <t>1,8х4,5</t>
  </si>
  <si>
    <t>Ворота жалюзи  откатные на кирпичные столбы</t>
  </si>
  <si>
    <t>Ламель жалюзи Tokyo</t>
  </si>
  <si>
    <t>Распашные 1,5х3,6</t>
  </si>
  <si>
    <t>Распашные 1,8х3,6</t>
  </si>
  <si>
    <t>Откатные 1,5х3,5</t>
  </si>
  <si>
    <t>Откатные 1,5х4,0</t>
  </si>
  <si>
    <t>Откатные 1,5х4,5</t>
  </si>
  <si>
    <t>Откатные 1,8х3,5</t>
  </si>
  <si>
    <t>Откатные 1,8х4,0</t>
  </si>
  <si>
    <t>Откатные 1,8х4,5</t>
  </si>
  <si>
    <t>Откатные на кирпич столб 1,5х3,5</t>
  </si>
  <si>
    <t>Откатные на кирпич столб 1,8х3,5</t>
  </si>
  <si>
    <t>Откатные на кирпич столб 1,5х4,0</t>
  </si>
  <si>
    <t>Откатные на кирпич столб 1,5х4,5</t>
  </si>
  <si>
    <t>Откатные на кирпич столб 1,8х4,0</t>
  </si>
  <si>
    <t>Откатные на кирпич столб 1,8х4,5</t>
  </si>
  <si>
    <t>Ламель 125</t>
  </si>
  <si>
    <t>Ламель 150</t>
  </si>
  <si>
    <t>Ламель 125 (для калиток и ворот)</t>
  </si>
  <si>
    <t>Ламель 150 (для калиток и ворот)</t>
  </si>
  <si>
    <t>Заклепки для ламели 125</t>
  </si>
  <si>
    <t>Заклепки для ламели 150</t>
  </si>
  <si>
    <t>Ламели  Milan</t>
  </si>
  <si>
    <t>Саморезы Milan</t>
  </si>
  <si>
    <t>Саморезы Tokyo</t>
  </si>
  <si>
    <t>Ламели Tokyo</t>
  </si>
  <si>
    <t xml:space="preserve">Планка завершающая 50*50 мм </t>
  </si>
  <si>
    <t>Планка завершающая 50х50</t>
  </si>
  <si>
    <t>Стойка 125 (для калиток и ворот)</t>
  </si>
  <si>
    <t>Стойка 150 (для калиток и ворот)</t>
  </si>
  <si>
    <t>ламель 150</t>
  </si>
  <si>
    <t>Крепежная планка верхняя</t>
  </si>
  <si>
    <t>Крепежная планка нижняя</t>
  </si>
  <si>
    <t>Данная страница не является прайс-листом. Все указанные цены справочные и могут отличаться от действующих на момент заказа.</t>
  </si>
  <si>
    <t>Ограждения жалюзи Milan и Tokyo</t>
  </si>
  <si>
    <t>Ограждения жалюзи Texas</t>
  </si>
  <si>
    <t>дата изменения страницы:</t>
  </si>
  <si>
    <t>Высота секции забора, м</t>
  </si>
  <si>
    <t>Milan</t>
  </si>
  <si>
    <t>Ламель Milan</t>
  </si>
  <si>
    <t>выберите из списка</t>
  </si>
  <si>
    <t xml:space="preserve">PE 0,45 двс </t>
  </si>
  <si>
    <t>впишите ширину</t>
  </si>
  <si>
    <t>впишите количество</t>
  </si>
  <si>
    <t>Данные для расчета элементов ограждений жалюзи Milan</t>
  </si>
  <si>
    <t>Спецификация ограждений жалюзи Milan</t>
  </si>
  <si>
    <t>выберите покрытие из списка</t>
  </si>
  <si>
    <t>Примечания к калькулятору</t>
  </si>
  <si>
    <t>Рекомендуем столбы 62х55х1,4, цену смотрите прайс-листе в разделе "Элементы панельных ограждений"</t>
  </si>
  <si>
    <t>Если линия забора имеет разрыв, то на стартовый/финишный столб вместо 2х декоративных накладкок нужно устанавливать 1 декоративную накладку и 1 декоративную накладку угловую. Калькулятор разрывы не учитывает и считает общее количество простых декоративных накладок, при заказе скорректируйте колличество самостоятельно</t>
  </si>
  <si>
    <t>Для откатных ворот отдельно приобретаются: комплект для автоматизации ворот и рейка с креплением (цены смотрите на стр. 5.9 прай-листа или в "Полном прайсе ограждений")</t>
  </si>
  <si>
    <t xml:space="preserve">Размер в номенклатуре калиток и ворот не является фактическим размером изделия. При монтаже калиток и ворот необходимо строго соблюсти размеры, указные в инструкции по монтажу либо в чертеже.    </t>
  </si>
  <si>
    <t>При высоте ограждения более 2м требуется расчет ветровой нагрузки на столб. Столб сечением 62х55 не рекомендуется! Подробности уточняйте в офисе продаж.</t>
  </si>
  <si>
    <t xml:space="preserve">При ширине секции ограждения более 2,5 м требуется расчет ветровой нагрузки на столб. Столб сечением 62х55 не рекомендуется! Подробности уточняйте в офисе продаж. </t>
  </si>
  <si>
    <t>Заполнение калиток и ворот приобретается отдельно (см. спецификацию)</t>
  </si>
  <si>
    <r>
      <t xml:space="preserve">Калькулятор ограждений жалюзи </t>
    </r>
    <r>
      <rPr>
        <b/>
        <sz val="18"/>
        <color indexed="10"/>
        <rFont val="Arial"/>
        <family val="2"/>
      </rPr>
      <t>Milan</t>
    </r>
  </si>
  <si>
    <r>
      <t xml:space="preserve">Калькулятор ограждений жалюзи </t>
    </r>
    <r>
      <rPr>
        <b/>
        <sz val="18"/>
        <color indexed="10"/>
        <rFont val="Arial"/>
        <family val="2"/>
      </rPr>
      <t>Tokyo</t>
    </r>
  </si>
  <si>
    <t>Данные для расчета элементов ограждений жалюзи Tokyo</t>
  </si>
  <si>
    <t>Калитка жалюзи Milan</t>
  </si>
  <si>
    <t>Ворота жалюзи Milan</t>
  </si>
  <si>
    <t>Калитка жалюзи Tokyo</t>
  </si>
  <si>
    <t>Ворота жалюзи Tokyo</t>
  </si>
  <si>
    <t>Спецификация ограждений жалюзи Tokyo</t>
  </si>
  <si>
    <t>ЛамельTokyo</t>
  </si>
  <si>
    <t>Все указанные цены справочные и могут отличаться от действующих на момент заказа.</t>
  </si>
  <si>
    <r>
      <rPr>
        <b/>
        <sz val="10"/>
        <rFont val="Arial"/>
        <family val="2"/>
      </rPr>
      <t>Цена ограждений жалюзи Milan расчетная</t>
    </r>
    <r>
      <rPr>
        <sz val="10"/>
        <rFont val="Arial"/>
        <family val="2"/>
      </rPr>
      <t xml:space="preserve">
(без учета стоимости столбов)</t>
    </r>
  </si>
  <si>
    <t>Цена в пересчете на 1 м.п.</t>
  </si>
  <si>
    <r>
      <rPr>
        <b/>
        <sz val="10"/>
        <rFont val="Arial"/>
        <family val="2"/>
      </rPr>
      <t>Цена ограждений жалюзи Tokyo расчетная</t>
    </r>
    <r>
      <rPr>
        <sz val="10"/>
        <rFont val="Arial"/>
        <family val="2"/>
      </rPr>
      <t xml:space="preserve">
(без учета стоимости столбов)</t>
    </r>
  </si>
  <si>
    <t xml:space="preserve">Крышка 65х60 </t>
  </si>
  <si>
    <t>Данные для расчета элементов ограждений жалюзи Texas</t>
  </si>
  <si>
    <r>
      <rPr>
        <b/>
        <sz val="10"/>
        <rFont val="Arial"/>
        <family val="2"/>
      </rPr>
      <t>Цена ограждений жалюзи Texas расчетная</t>
    </r>
    <r>
      <rPr>
        <sz val="10"/>
        <rFont val="Arial"/>
        <family val="2"/>
      </rPr>
      <t xml:space="preserve">
(без учета стоимости столбов)</t>
    </r>
  </si>
  <si>
    <t>Спецификация ограждений жалюзи Texas</t>
  </si>
  <si>
    <t>размер</t>
  </si>
  <si>
    <t>ламель 125</t>
  </si>
  <si>
    <t>меньше (25-50мм в зависимости от высоты забора)</t>
  </si>
  <si>
    <t>больше (50-80мм в зависимости от высоты забора)</t>
  </si>
  <si>
    <t>Калитка жалюзи Texas</t>
  </si>
  <si>
    <t>Ворота жалюзи Texas</t>
  </si>
  <si>
    <t>* Величину зазора нужно определять только при выборе ламелей шириной 150 мм.
Для ламелей 125 мм выбор величины зазора в таблице данных на расчет не влияет</t>
  </si>
  <si>
    <t>Закплепки</t>
  </si>
  <si>
    <t>Общая сумма крепежа для заказа (просуммированы данные представленые выше в спецификации)</t>
  </si>
  <si>
    <t>Рекомендуем следующие вытоты забора:
          - ламель 125, зазор между ламелями 25 мм, высота секции забора: 1,05 / 1,2 / 1,35 / 1,5 / 1,65 / 1,8 / 1,95 / 2,1 / 2,4 / 2,55 / 2,7 / 2,85 м
          - ламель 150, зазор между ламелями 25 мм, высота секции забора: 1,05 / 1,4 / 1,75 / 2,1 / 2,45 / 2,8 м
          - ламель 150, зазор между ламелями 50 мм, высота секции забора: 1,0 / 1,2 / 1,4 / 1,6 / 1,8 / 2,0 / 2,2 / 2,4 / 2,6 / 2,8 / 3,0 м</t>
  </si>
  <si>
    <t>Если линия забора имеет разрыв, то на стартовый/финишный столб вместо 2х декоративных накладкок нужно устанавливать 2 декоративных накладки угловые. Калькулятор разрывы не учитывает и считает общее количество простых декоративных накладок, при заказе скорректируйте колличество самостоятельно</t>
  </si>
  <si>
    <t>Заклепки</t>
  </si>
  <si>
    <t>62х55</t>
  </si>
  <si>
    <t>60х60</t>
  </si>
  <si>
    <t>80х80</t>
  </si>
  <si>
    <t>Столбы</t>
  </si>
  <si>
    <t>столб 62х55</t>
  </si>
  <si>
    <t>столб 60х60</t>
  </si>
  <si>
    <t>столб 80х80</t>
  </si>
  <si>
    <t>Размер столба</t>
  </si>
  <si>
    <t>Столб</t>
  </si>
  <si>
    <t>Расчет цены может быть не полный, если вы заполнили не все зеленые ячейки с данными, в том числе не выбрали размер столба</t>
  </si>
  <si>
    <t>Декоративная накладка прямая</t>
  </si>
  <si>
    <t>Ограждения жалюзи Palermo</t>
  </si>
  <si>
    <t>Ламель Palermo</t>
  </si>
  <si>
    <t>Крышка 50х75</t>
  </si>
  <si>
    <t>Планка опорная составная внешняя</t>
  </si>
  <si>
    <t>Планка опорная составная внутренняя</t>
  </si>
  <si>
    <t>Планка вертикальная лицевая</t>
  </si>
  <si>
    <t>Планка вертикальная обратная</t>
  </si>
  <si>
    <t>Основные элементы ограждений жалюзи Palermo</t>
  </si>
  <si>
    <r>
      <t xml:space="preserve">Калькулятор ограждений жалюзи </t>
    </r>
    <r>
      <rPr>
        <b/>
        <sz val="18"/>
        <color indexed="10"/>
        <rFont val="Arial"/>
        <family val="2"/>
      </rPr>
      <t>Palermo</t>
    </r>
  </si>
  <si>
    <t>Данные для расчета элементов ограждений жалюзи Palermo</t>
  </si>
  <si>
    <t>Калитка жалюзи Palermo</t>
  </si>
  <si>
    <t>Ворота жалюзи Palermo</t>
  </si>
  <si>
    <r>
      <rPr>
        <b/>
        <sz val="10"/>
        <rFont val="Arial"/>
        <family val="2"/>
      </rPr>
      <t>Цена ограждений жалюзи Palermo расчетная</t>
    </r>
    <r>
      <rPr>
        <sz val="10"/>
        <rFont val="Arial"/>
        <family val="2"/>
      </rPr>
      <t xml:space="preserve">
(без учета стоимости столбов)</t>
    </r>
  </si>
  <si>
    <t>Спецификация ограждений жалюзи  Palermo</t>
  </si>
  <si>
    <t>Кол-во ламелей</t>
  </si>
  <si>
    <t>высота минус 100мм</t>
  </si>
  <si>
    <t>Саморезы ПШС 4,2х19</t>
  </si>
  <si>
    <t>Шуруп по бетону</t>
  </si>
  <si>
    <t>7,5х52</t>
  </si>
  <si>
    <t>5,5 х 19</t>
  </si>
  <si>
    <t>7,5 х 52</t>
  </si>
  <si>
    <t>4,2 х 16</t>
  </si>
  <si>
    <t>4,2 х 19</t>
  </si>
  <si>
    <r>
      <t>Количество углов отличающихся от 90</t>
    </r>
    <r>
      <rPr>
        <vertAlign val="superscript"/>
        <sz val="10"/>
        <rFont val="Arial"/>
        <family val="2"/>
      </rPr>
      <t>о</t>
    </r>
  </si>
  <si>
    <t>Стойка боковая крепежная</t>
  </si>
  <si>
    <t>1,68х1,5</t>
  </si>
  <si>
    <t>2,0х1,5</t>
  </si>
  <si>
    <t>2,5х1,0</t>
  </si>
  <si>
    <t>1,68х4.0</t>
  </si>
  <si>
    <t>2,5х4,0</t>
  </si>
  <si>
    <t>Калитка 1,68х1,5</t>
  </si>
  <si>
    <t>Калитка 2,0х1,5</t>
  </si>
  <si>
    <t>Калитка 2,5х1</t>
  </si>
  <si>
    <t>Распашные 1,68х4,0</t>
  </si>
  <si>
    <t>Распашные 2,0х4,0</t>
  </si>
  <si>
    <t>Откатные 2,5х4,0</t>
  </si>
  <si>
    <t>Расчет цены может быть не полный, если вы заполнили не все зеленые ячейки с данными, в том числе не выбрали размер столба. А также при выборе калитки или ворот, на которые цены указаны "по запросу" или для которых нет расчета заполнения</t>
  </si>
  <si>
    <t>Крышка 45х20</t>
  </si>
  <si>
    <t>Ламель лицевая 125 стартовая/финишная (для калиток и ворот)</t>
  </si>
  <si>
    <t>Ламель обратная 125 стартовая/финишная (для калиток и ворот)</t>
  </si>
  <si>
    <t>Ламель лицевая 125 
стартовая/финишная
(для калиток и ворот)</t>
  </si>
  <si>
    <t>Ламель обратная 125 стартовая/финишная
(для калиток и ворот)</t>
  </si>
  <si>
    <t>Ламели  Palermo</t>
  </si>
  <si>
    <t>Ламели  Palermo (для калиток и ворот)</t>
  </si>
  <si>
    <t>Планка опорная внутренная</t>
  </si>
  <si>
    <t>Размер планки</t>
  </si>
  <si>
    <t>Планка опорная внешняя</t>
  </si>
  <si>
    <t xml:space="preserve">Ламели размер 
(для калиток и ворот) </t>
  </si>
  <si>
    <t>Ламель Palermo (для калиток и ворот)</t>
  </si>
  <si>
    <t>Планка опорная внутренняя</t>
  </si>
  <si>
    <t>Общая сумма крепежа для заказа (просуммированы данные, представленые выше в спецификации)</t>
  </si>
  <si>
    <t>Входные группы к ограждениям жалюзи Palermo</t>
  </si>
  <si>
    <t>Саморезы 5,5х19</t>
  </si>
  <si>
    <t>Drap TwinColor</t>
  </si>
  <si>
    <t>Нащельник 2,5</t>
  </si>
  <si>
    <t>(L2,5)</t>
  </si>
  <si>
    <t>Российская Федерация</t>
  </si>
  <si>
    <t>выберите страну для пересчета цены в российские или беларусские рубли</t>
  </si>
  <si>
    <t>Drap 0,45 двс</t>
  </si>
  <si>
    <t>Использование крепежного вкладыша</t>
  </si>
  <si>
    <t>да</t>
  </si>
  <si>
    <t>Крепежный вкладыш (правый)</t>
  </si>
  <si>
    <t>Крепежный вкладыш (левый)</t>
  </si>
  <si>
    <t>Крепежный вкладыш Milan правый/левый</t>
  </si>
  <si>
    <r>
      <t xml:space="preserve">Использование крепежного вкладыша
</t>
    </r>
    <r>
      <rPr>
        <i/>
        <sz val="10"/>
        <rFont val="Arial"/>
        <family val="2"/>
      </rPr>
      <t>(только для высоты секции забора 2,01 м)</t>
    </r>
  </si>
  <si>
    <t>Rooftop Бархат</t>
  </si>
  <si>
    <t>PurPro</t>
  </si>
  <si>
    <t>Velur X</t>
  </si>
  <si>
    <t>Atlas X</t>
  </si>
  <si>
    <t>Drap TX 0,5</t>
  </si>
  <si>
    <t>Крепежный вкладыш (универсальный)</t>
  </si>
  <si>
    <r>
      <t xml:space="preserve">Использование крепежного вкладыша
</t>
    </r>
    <r>
      <rPr>
        <i/>
        <sz val="10"/>
        <rFont val="Arial"/>
        <family val="2"/>
      </rPr>
      <t>(только для высоты секции забора 2,1 м)</t>
    </r>
  </si>
  <si>
    <t xml:space="preserve">Ламель лицевая 125 стартовая/финишная (для калиток и ворот) </t>
  </si>
  <si>
    <t xml:space="preserve">Ламель лицевая 150 стартовая/финишная (для калиток и ворот) </t>
  </si>
  <si>
    <t>Ламель обратная 150 стартовая/финишная (для калиток и ворот)</t>
  </si>
  <si>
    <t>Print Premium 0,45</t>
  </si>
  <si>
    <t>Print Premium 0,4</t>
  </si>
  <si>
    <r>
      <t xml:space="preserve">Калькулятор ограждений жалюзи </t>
    </r>
    <r>
      <rPr>
        <b/>
        <sz val="18"/>
        <color indexed="10"/>
        <rFont val="Arial"/>
        <family val="2"/>
      </rPr>
      <t>Texas</t>
    </r>
    <r>
      <rPr>
        <b/>
        <sz val="14"/>
        <color indexed="10"/>
        <rFont val="Arial"/>
        <family val="2"/>
      </rPr>
      <t xml:space="preserve"> (крепеж ламелей спомощью саморезов)</t>
    </r>
  </si>
  <si>
    <r>
      <t xml:space="preserve">Калькулятор ограждений жалюзи </t>
    </r>
    <r>
      <rPr>
        <b/>
        <sz val="18"/>
        <color indexed="10"/>
        <rFont val="Arial"/>
        <family val="2"/>
      </rPr>
      <t>Texas</t>
    </r>
    <r>
      <rPr>
        <b/>
        <sz val="14"/>
        <color indexed="10"/>
        <rFont val="Arial"/>
        <family val="2"/>
      </rPr>
      <t xml:space="preserve"> (крепеж ламелей с помощью крепежного вкладыша)</t>
    </r>
  </si>
  <si>
    <t>вид ламели</t>
  </si>
  <si>
    <t>Вариант монтажа с вкладышем</t>
  </si>
  <si>
    <t>высота секции</t>
  </si>
  <si>
    <t>зазор</t>
  </si>
  <si>
    <t>кол-во ламелей</t>
  </si>
  <si>
    <r>
      <t xml:space="preserve">Высота секции забора, м
</t>
    </r>
    <r>
      <rPr>
        <i/>
        <sz val="10"/>
        <color indexed="10"/>
        <rFont val="Arial"/>
        <family val="2"/>
      </rPr>
      <t>(высота секции забора ограничена одним размером для каждого вида ламели)</t>
    </r>
  </si>
  <si>
    <t>Крепежный вкладыш 125 (правый)</t>
  </si>
  <si>
    <t>Крепежный вкладыш 125 (левый)</t>
  </si>
  <si>
    <t>Крепежный вкладыш 150 (правый)</t>
  </si>
  <si>
    <t>Крепежный вкладыш 150 (левый)</t>
  </si>
  <si>
    <t>Крепежный вкладыш Texas 125 правый/левый</t>
  </si>
  <si>
    <t>Крепежный вкладыш Texas 150 правый/левый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</si>
</sst>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.0"/>
    <numFmt numFmtId="166" formatCode="#,##0.00\ &quot;₽&quot;"/>
    <numFmt numFmtId="167" formatCode="#,##0.0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4"/>
      <color indexed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6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vertAlign val="superscript"/>
      <sz val="10"/>
      <name val="Arial"/>
      <family val="2"/>
    </font>
    <font>
      <sz val="10"/>
      <color indexed="2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18"/>
      <color indexed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i/>
      <sz val="10"/>
      <color indexed="8"/>
      <name val="Arial"/>
      <family val="2"/>
    </font>
    <font>
      <i/>
      <sz val="10"/>
      <color indexed="10"/>
      <name val="Arial"/>
      <family val="2"/>
    </font>
    <font>
      <b/>
      <sz val="11"/>
      <color indexed="8"/>
      <name val="Calibri"/>
      <family val="2"/>
    </font>
    <font>
      <b/>
      <sz val="10"/>
      <color indexed="22"/>
      <name val="Arial"/>
      <family val="2"/>
    </font>
    <font>
      <sz val="10"/>
      <color indexed="55"/>
      <name val="Arial"/>
      <family val="2"/>
    </font>
    <font>
      <sz val="11"/>
      <name val="Calibri"/>
      <family val="2"/>
    </font>
    <font>
      <b/>
      <sz val="12"/>
      <color indexed="10"/>
      <name val="Arial"/>
      <family val="2"/>
    </font>
    <font>
      <b/>
      <sz val="10"/>
      <color indexed="55"/>
      <name val="Arial"/>
      <family val="2"/>
    </font>
    <font>
      <b/>
      <i/>
      <sz val="10"/>
      <color indexed="22"/>
      <name val="Arial"/>
      <family val="2"/>
    </font>
    <font>
      <i/>
      <sz val="10"/>
      <color indexed="22"/>
      <name val="Arial"/>
      <family val="2"/>
    </font>
    <font>
      <sz val="10"/>
      <name val="Arial Cyr"/>
      <family val="0"/>
    </font>
    <font>
      <sz val="9"/>
      <name val="Arial"/>
      <family val="2"/>
    </font>
    <font>
      <b/>
      <sz val="14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C0C0C0"/>
      <name val="Arial"/>
      <family val="2"/>
    </font>
    <font>
      <b/>
      <sz val="10"/>
      <color rgb="FFC0C0C0"/>
      <name val="Arial"/>
      <family val="2"/>
    </font>
    <font>
      <sz val="10"/>
      <color theme="0" tint="-0.3499799966812134"/>
      <name val="Arial"/>
      <family val="2"/>
    </font>
    <font>
      <b/>
      <sz val="12"/>
      <color rgb="FFFF0000"/>
      <name val="Arial"/>
      <family val="2"/>
    </font>
    <font>
      <b/>
      <sz val="10"/>
      <color theme="0" tint="-0.24997000396251678"/>
      <name val="Arial"/>
      <family val="2"/>
    </font>
    <font>
      <sz val="10"/>
      <color theme="0" tint="-0.24997000396251678"/>
      <name val="Arial"/>
      <family val="2"/>
    </font>
    <font>
      <b/>
      <i/>
      <sz val="10"/>
      <color rgb="FFC0C0C0"/>
      <name val="Arial"/>
      <family val="2"/>
    </font>
    <font>
      <i/>
      <sz val="10"/>
      <color rgb="FFC0C0C0"/>
      <name val="Arial"/>
      <family val="2"/>
    </font>
    <font>
      <b/>
      <sz val="14"/>
      <color theme="1"/>
      <name val="Calibri"/>
      <family val="2"/>
    </font>
    <font>
      <i/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1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medium">
        <color indexed="10"/>
      </bottom>
    </border>
    <border>
      <left/>
      <right/>
      <top style="thin"/>
      <bottom style="thin"/>
    </border>
    <border>
      <left style="double"/>
      <right style="double"/>
      <top style="thin"/>
      <bottom style="thin"/>
    </border>
    <border>
      <left style="double"/>
      <right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/>
    </border>
    <border>
      <left style="medium"/>
      <right/>
      <top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315">
    <xf numFmtId="0" fontId="0" fillId="0" borderId="0" xfId="0" applyFont="1" applyAlignment="1">
      <alignment/>
    </xf>
    <xf numFmtId="0" fontId="3" fillId="0" borderId="0" xfId="42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4" fontId="7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/>
    </xf>
    <xf numFmtId="14" fontId="8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33" borderId="10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textRotation="90"/>
    </xf>
    <xf numFmtId="164" fontId="11" fillId="0" borderId="0" xfId="0" applyNumberFormat="1" applyFont="1" applyAlignment="1">
      <alignment vertical="center"/>
    </xf>
    <xf numFmtId="0" fontId="4" fillId="0" borderId="0" xfId="0" applyFont="1" applyAlignment="1">
      <alignment horizontal="left" wrapText="1"/>
    </xf>
    <xf numFmtId="14" fontId="8" fillId="0" borderId="11" xfId="0" applyNumberFormat="1" applyFont="1" applyBorder="1" applyAlignment="1">
      <alignment vertical="center"/>
    </xf>
    <xf numFmtId="14" fontId="8" fillId="0" borderId="0" xfId="0" applyNumberFormat="1" applyFont="1" applyAlignment="1">
      <alignment vertical="center"/>
    </xf>
    <xf numFmtId="0" fontId="12" fillId="0" borderId="0" xfId="0" applyFont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0" xfId="0" applyFont="1" applyBorder="1" applyAlignment="1">
      <alignment vertical="center"/>
    </xf>
    <xf numFmtId="9" fontId="4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14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67" fillId="0" borderId="0" xfId="0" applyFont="1" applyAlignment="1">
      <alignment/>
    </xf>
    <xf numFmtId="0" fontId="67" fillId="0" borderId="0" xfId="0" applyFont="1" applyAlignment="1">
      <alignment horizontal="center"/>
    </xf>
    <xf numFmtId="0" fontId="67" fillId="0" borderId="0" xfId="0" applyFont="1" applyAlignment="1">
      <alignment horizontal="center" vertical="center"/>
    </xf>
    <xf numFmtId="0" fontId="67" fillId="0" borderId="0" xfId="0" applyFont="1" applyAlignment="1">
      <alignment vertical="center" wrapText="1"/>
    </xf>
    <xf numFmtId="0" fontId="68" fillId="0" borderId="0" xfId="0" applyFont="1" applyAlignment="1">
      <alignment vertical="center" wrapText="1"/>
    </xf>
    <xf numFmtId="0" fontId="68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vertical="center" wrapText="1"/>
    </xf>
    <xf numFmtId="1" fontId="4" fillId="0" borderId="0" xfId="0" applyNumberFormat="1" applyFont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3" fontId="67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4" fillId="33" borderId="13" xfId="0" applyFont="1" applyFill="1" applyBorder="1" applyAlignment="1" applyProtection="1">
      <alignment horizontal="left" vertical="center" wrapText="1"/>
      <protection locked="0"/>
    </xf>
    <xf numFmtId="0" fontId="4" fillId="33" borderId="14" xfId="0" applyFont="1" applyFill="1" applyBorder="1" applyAlignment="1" applyProtection="1">
      <alignment horizontal="left" vertical="center" wrapText="1"/>
      <protection locked="0"/>
    </xf>
    <xf numFmtId="0" fontId="69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/>
    </xf>
    <xf numFmtId="0" fontId="69" fillId="0" borderId="15" xfId="0" applyFont="1" applyBorder="1" applyAlignment="1">
      <alignment horizontal="center" vertical="center" wrapText="1"/>
    </xf>
    <xf numFmtId="0" fontId="4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>
      <alignment/>
    </xf>
    <xf numFmtId="0" fontId="4" fillId="0" borderId="0" xfId="0" applyFont="1" applyAlignment="1" applyProtection="1">
      <alignment vertical="center" wrapText="1"/>
      <protection locked="0"/>
    </xf>
    <xf numFmtId="0" fontId="7" fillId="0" borderId="0" xfId="0" applyFont="1" applyAlignment="1">
      <alignment vertical="center" wrapText="1"/>
    </xf>
    <xf numFmtId="165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8" fillId="0" borderId="0" xfId="0" applyFont="1" applyAlignment="1">
      <alignment/>
    </xf>
    <xf numFmtId="0" fontId="11" fillId="0" borderId="0" xfId="0" applyFont="1" applyAlignment="1">
      <alignment vertical="center" wrapText="1"/>
    </xf>
    <xf numFmtId="0" fontId="4" fillId="0" borderId="10" xfId="0" applyFont="1" applyBorder="1" applyAlignment="1">
      <alignment vertical="center"/>
    </xf>
    <xf numFmtId="9" fontId="4" fillId="0" borderId="0" xfId="0" applyNumberFormat="1" applyFont="1" applyAlignment="1">
      <alignment horizontal="center" vertical="center"/>
    </xf>
    <xf numFmtId="0" fontId="58" fillId="0" borderId="0" xfId="0" applyFont="1" applyAlignment="1">
      <alignment/>
    </xf>
    <xf numFmtId="0" fontId="7" fillId="0" borderId="0" xfId="0" applyFont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68" fillId="0" borderId="0" xfId="0" applyFont="1" applyAlignment="1">
      <alignment horizontal="center" vertical="center"/>
    </xf>
    <xf numFmtId="3" fontId="68" fillId="0" borderId="0" xfId="0" applyNumberFormat="1" applyFont="1" applyAlignment="1">
      <alignment vertical="center"/>
    </xf>
    <xf numFmtId="3" fontId="67" fillId="0" borderId="0" xfId="0" applyNumberFormat="1" applyFont="1" applyAlignment="1">
      <alignment vertical="center"/>
    </xf>
    <xf numFmtId="3" fontId="68" fillId="0" borderId="0" xfId="0" applyNumberFormat="1" applyFont="1" applyAlignment="1">
      <alignment/>
    </xf>
    <xf numFmtId="0" fontId="20" fillId="0" borderId="10" xfId="0" applyFont="1" applyBorder="1" applyAlignment="1">
      <alignment horizontal="center" vertical="center"/>
    </xf>
    <xf numFmtId="1" fontId="20" fillId="0" borderId="16" xfId="0" applyNumberFormat="1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1" fontId="20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0" xfId="0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0" fontId="20" fillId="0" borderId="17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16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0" fillId="0" borderId="10" xfId="0" applyBorder="1" applyAlignment="1">
      <alignment/>
    </xf>
    <xf numFmtId="2" fontId="4" fillId="0" borderId="10" xfId="0" applyNumberFormat="1" applyFont="1" applyBorder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vertical="center"/>
    </xf>
    <xf numFmtId="0" fontId="8" fillId="33" borderId="16" xfId="0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18" fillId="33" borderId="10" xfId="0" applyFont="1" applyFill="1" applyBorder="1" applyAlignment="1">
      <alignment vertical="center"/>
    </xf>
    <xf numFmtId="0" fontId="18" fillId="33" borderId="16" xfId="0" applyFont="1" applyFill="1" applyBorder="1" applyAlignment="1">
      <alignment vertical="center"/>
    </xf>
    <xf numFmtId="0" fontId="20" fillId="33" borderId="17" xfId="0" applyFont="1" applyFill="1" applyBorder="1" applyAlignment="1">
      <alignment vertical="center"/>
    </xf>
    <xf numFmtId="0" fontId="20" fillId="33" borderId="16" xfId="0" applyFont="1" applyFill="1" applyBorder="1" applyAlignment="1">
      <alignment vertical="center"/>
    </xf>
    <xf numFmtId="0" fontId="18" fillId="33" borderId="17" xfId="0" applyFont="1" applyFill="1" applyBorder="1" applyAlignment="1">
      <alignment vertical="center"/>
    </xf>
    <xf numFmtId="0" fontId="20" fillId="33" borderId="17" xfId="0" applyFont="1" applyFill="1" applyBorder="1" applyAlignment="1">
      <alignment horizontal="left" vertical="center" wrapText="1"/>
    </xf>
    <xf numFmtId="0" fontId="20" fillId="33" borderId="16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 horizontal="center" vertical="center"/>
    </xf>
    <xf numFmtId="0" fontId="8" fillId="33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1" fontId="22" fillId="0" borderId="16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0" fontId="22" fillId="0" borderId="16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1" fontId="20" fillId="0" borderId="0" xfId="0" applyNumberFormat="1" applyFont="1" applyAlignment="1">
      <alignment horizontal="center" vertical="center"/>
    </xf>
    <xf numFmtId="0" fontId="4" fillId="33" borderId="12" xfId="0" applyFont="1" applyFill="1" applyBorder="1" applyAlignment="1">
      <alignment horizontal="left" vertical="center" wrapText="1"/>
    </xf>
    <xf numFmtId="0" fontId="4" fillId="33" borderId="18" xfId="0" applyFont="1" applyFill="1" applyBorder="1" applyAlignment="1">
      <alignment horizontal="left" vertical="center" wrapText="1"/>
    </xf>
    <xf numFmtId="0" fontId="4" fillId="33" borderId="19" xfId="0" applyFont="1" applyFill="1" applyBorder="1" applyAlignment="1">
      <alignment horizontal="left" vertical="center" wrapText="1"/>
    </xf>
    <xf numFmtId="0" fontId="4" fillId="33" borderId="2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14" fontId="4" fillId="0" borderId="0" xfId="0" applyNumberFormat="1" applyFont="1" applyAlignment="1">
      <alignment/>
    </xf>
    <xf numFmtId="0" fontId="4" fillId="33" borderId="24" xfId="0" applyFont="1" applyFill="1" applyBorder="1" applyAlignment="1">
      <alignment horizontal="left" vertical="center" wrapText="1"/>
    </xf>
    <xf numFmtId="0" fontId="4" fillId="33" borderId="25" xfId="0" applyFont="1" applyFill="1" applyBorder="1" applyAlignment="1">
      <alignment horizontal="left" vertical="center" wrapText="1"/>
    </xf>
    <xf numFmtId="167" fontId="28" fillId="0" borderId="10" xfId="53" applyNumberFormat="1" applyFont="1" applyBorder="1" applyAlignment="1">
      <alignment horizontal="center"/>
      <protection/>
    </xf>
    <xf numFmtId="0" fontId="70" fillId="0" borderId="0" xfId="0" applyFont="1" applyAlignment="1">
      <alignment vertical="center"/>
    </xf>
    <xf numFmtId="0" fontId="0" fillId="33" borderId="10" xfId="0" applyFill="1" applyBorder="1" applyAlignment="1">
      <alignment horizontal="center" vertical="center" wrapText="1"/>
    </xf>
    <xf numFmtId="3" fontId="28" fillId="0" borderId="10" xfId="53" applyNumberFormat="1" applyFont="1" applyBorder="1" applyAlignment="1">
      <alignment horizontal="center"/>
      <protection/>
    </xf>
    <xf numFmtId="1" fontId="22" fillId="0" borderId="10" xfId="0" applyNumberFormat="1" applyFont="1" applyBorder="1" applyAlignment="1">
      <alignment horizontal="center" vertical="center"/>
    </xf>
    <xf numFmtId="0" fontId="68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  <xf numFmtId="0" fontId="72" fillId="0" borderId="10" xfId="0" applyFont="1" applyBorder="1" applyAlignment="1">
      <alignment horizontal="center" vertical="center" wrapText="1"/>
    </xf>
    <xf numFmtId="0" fontId="72" fillId="0" borderId="10" xfId="0" applyFont="1" applyBorder="1" applyAlignment="1">
      <alignment vertical="center" wrapText="1"/>
    </xf>
    <xf numFmtId="0" fontId="72" fillId="0" borderId="12" xfId="0" applyFont="1" applyBorder="1" applyAlignment="1">
      <alignment vertical="center" wrapText="1"/>
    </xf>
    <xf numFmtId="0" fontId="72" fillId="0" borderId="10" xfId="0" applyFont="1" applyBorder="1" applyAlignment="1">
      <alignment horizontal="left" vertical="center"/>
    </xf>
    <xf numFmtId="0" fontId="20" fillId="0" borderId="18" xfId="0" applyFont="1" applyBorder="1" applyAlignment="1">
      <alignment horizontal="center" vertical="center" wrapText="1"/>
    </xf>
    <xf numFmtId="3" fontId="73" fillId="0" borderId="0" xfId="0" applyNumberFormat="1" applyFont="1" applyAlignment="1">
      <alignment/>
    </xf>
    <xf numFmtId="0" fontId="23" fillId="0" borderId="0" xfId="0" applyFont="1" applyAlignment="1">
      <alignment/>
    </xf>
    <xf numFmtId="0" fontId="21" fillId="0" borderId="0" xfId="0" applyFont="1" applyAlignment="1">
      <alignment/>
    </xf>
    <xf numFmtId="3" fontId="74" fillId="0" borderId="0" xfId="0" applyNumberFormat="1" applyFont="1" applyAlignment="1">
      <alignment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164" fontId="24" fillId="0" borderId="0" xfId="0" applyNumberFormat="1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textRotation="90"/>
    </xf>
    <xf numFmtId="2" fontId="67" fillId="0" borderId="10" xfId="0" applyNumberFormat="1" applyFont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/>
    </xf>
    <xf numFmtId="0" fontId="69" fillId="0" borderId="12" xfId="0" applyFont="1" applyBorder="1" applyAlignment="1">
      <alignment horizontal="center" vertical="center" wrapText="1"/>
    </xf>
    <xf numFmtId="3" fontId="4" fillId="35" borderId="0" xfId="0" applyNumberFormat="1" applyFont="1" applyFill="1" applyAlignment="1">
      <alignment horizontal="center" vertical="center"/>
    </xf>
    <xf numFmtId="2" fontId="72" fillId="0" borderId="1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/>
    </xf>
    <xf numFmtId="0" fontId="28" fillId="0" borderId="23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3" fontId="4" fillId="0" borderId="10" xfId="0" applyNumberFormat="1" applyFont="1" applyBorder="1" applyAlignment="1">
      <alignment horizontal="center" vertical="center"/>
    </xf>
    <xf numFmtId="0" fontId="69" fillId="0" borderId="19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/>
    </xf>
    <xf numFmtId="2" fontId="28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/>
    </xf>
    <xf numFmtId="0" fontId="67" fillId="0" borderId="15" xfId="0" applyFont="1" applyBorder="1" applyAlignment="1">
      <alignment horizontal="center"/>
    </xf>
    <xf numFmtId="0" fontId="33" fillId="33" borderId="10" xfId="0" applyFont="1" applyFill="1" applyBorder="1" applyAlignment="1" applyProtection="1">
      <alignment horizontal="left" vertical="center" wrapText="1"/>
      <protection locked="0"/>
    </xf>
    <xf numFmtId="14" fontId="4" fillId="0" borderId="0" xfId="0" applyNumberFormat="1" applyFont="1" applyAlignment="1">
      <alignment vertical="center"/>
    </xf>
    <xf numFmtId="1" fontId="20" fillId="0" borderId="18" xfId="0" applyNumberFormat="1" applyFont="1" applyBorder="1" applyAlignment="1">
      <alignment horizontal="center" vertical="center"/>
    </xf>
    <xf numFmtId="3" fontId="72" fillId="0" borderId="0" xfId="0" applyNumberFormat="1" applyFont="1" applyAlignment="1">
      <alignment vertical="center"/>
    </xf>
    <xf numFmtId="3" fontId="71" fillId="0" borderId="0" xfId="0" applyNumberFormat="1" applyFont="1" applyAlignment="1">
      <alignment vertical="center"/>
    </xf>
    <xf numFmtId="0" fontId="72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3" fontId="68" fillId="0" borderId="22" xfId="0" applyNumberFormat="1" applyFont="1" applyBorder="1" applyAlignment="1">
      <alignment vertical="center"/>
    </xf>
    <xf numFmtId="0" fontId="3" fillId="0" borderId="0" xfId="42" applyFont="1" applyFill="1" applyAlignment="1">
      <alignment/>
    </xf>
    <xf numFmtId="3" fontId="67" fillId="0" borderId="22" xfId="0" applyNumberFormat="1" applyFont="1" applyBorder="1" applyAlignment="1">
      <alignment vertical="center"/>
    </xf>
    <xf numFmtId="0" fontId="75" fillId="0" borderId="0" xfId="0" applyFont="1" applyAlignment="1">
      <alignment/>
    </xf>
    <xf numFmtId="0" fontId="4" fillId="0" borderId="26" xfId="0" applyFont="1" applyBorder="1" applyAlignment="1">
      <alignment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3" fillId="0" borderId="0" xfId="42" applyFont="1" applyFill="1" applyAlignment="1">
      <alignment horizontal="left"/>
    </xf>
    <xf numFmtId="0" fontId="4" fillId="36" borderId="12" xfId="0" applyFont="1" applyFill="1" applyBorder="1" applyAlignment="1">
      <alignment horizontal="center" vertical="center"/>
    </xf>
    <xf numFmtId="0" fontId="4" fillId="36" borderId="18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4" fillId="36" borderId="12" xfId="0" applyFont="1" applyFill="1" applyBorder="1" applyAlignment="1">
      <alignment horizontal="center" vertical="center" wrapText="1"/>
    </xf>
    <xf numFmtId="0" fontId="4" fillId="36" borderId="18" xfId="0" applyFont="1" applyFill="1" applyBorder="1" applyAlignment="1">
      <alignment horizontal="center" vertical="center" wrapText="1"/>
    </xf>
    <xf numFmtId="0" fontId="67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top" wrapText="1"/>
    </xf>
    <xf numFmtId="166" fontId="15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18" fillId="36" borderId="10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68" fillId="0" borderId="0" xfId="0" applyFont="1" applyAlignment="1">
      <alignment horizontal="center" vertical="center"/>
    </xf>
    <xf numFmtId="0" fontId="76" fillId="0" borderId="22" xfId="0" applyFont="1" applyBorder="1" applyAlignment="1">
      <alignment horizontal="center" vertical="center" wrapText="1"/>
    </xf>
    <xf numFmtId="0" fontId="76" fillId="0" borderId="0" xfId="0" applyFont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166" fontId="8" fillId="0" borderId="10" xfId="0" applyNumberFormat="1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/>
    </xf>
    <xf numFmtId="0" fontId="34" fillId="0" borderId="30" xfId="0" applyFont="1" applyBorder="1" applyAlignment="1">
      <alignment horizontal="center" vertical="center" wrapText="1"/>
    </xf>
    <xf numFmtId="0" fontId="34" fillId="0" borderId="31" xfId="0" applyFont="1" applyBorder="1" applyAlignment="1">
      <alignment horizontal="center" vertical="center" wrapText="1"/>
    </xf>
    <xf numFmtId="0" fontId="34" fillId="0" borderId="28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4" fillId="37" borderId="12" xfId="0" applyFont="1" applyFill="1" applyBorder="1" applyAlignment="1">
      <alignment horizontal="center" vertical="center" wrapText="1"/>
    </xf>
    <xf numFmtId="0" fontId="4" fillId="37" borderId="18" xfId="0" applyFont="1" applyFill="1" applyBorder="1" applyAlignment="1">
      <alignment horizontal="center" vertical="center" wrapText="1"/>
    </xf>
    <xf numFmtId="0" fontId="4" fillId="36" borderId="28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69" fillId="0" borderId="15" xfId="0" applyFont="1" applyBorder="1" applyAlignment="1">
      <alignment horizontal="center" vertical="center" wrapText="1"/>
    </xf>
    <xf numFmtId="0" fontId="69" fillId="0" borderId="33" xfId="0" applyFont="1" applyBorder="1" applyAlignment="1">
      <alignment horizontal="center" vertical="center" wrapText="1"/>
    </xf>
    <xf numFmtId="0" fontId="69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28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38" borderId="12" xfId="0" applyFont="1" applyFill="1" applyBorder="1" applyAlignment="1">
      <alignment horizontal="left" vertical="center"/>
    </xf>
    <xf numFmtId="0" fontId="8" fillId="38" borderId="18" xfId="0" applyFont="1" applyFill="1" applyBorder="1" applyAlignment="1">
      <alignment horizontal="left" vertical="center"/>
    </xf>
    <xf numFmtId="0" fontId="4" fillId="0" borderId="12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72" fillId="0" borderId="10" xfId="0" applyFont="1" applyBorder="1" applyAlignment="1">
      <alignment horizontal="left" vertical="center" wrapText="1"/>
    </xf>
    <xf numFmtId="0" fontId="72" fillId="0" borderId="12" xfId="0" applyFont="1" applyBorder="1" applyAlignment="1">
      <alignment horizontal="left" vertical="center" wrapText="1"/>
    </xf>
    <xf numFmtId="0" fontId="72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4" fillId="33" borderId="37" xfId="0" applyFont="1" applyFill="1" applyBorder="1" applyAlignment="1" applyProtection="1">
      <alignment horizontal="center" vertical="center" wrapText="1"/>
      <protection locked="0"/>
    </xf>
    <xf numFmtId="0" fontId="4" fillId="33" borderId="38" xfId="0" applyFont="1" applyFill="1" applyBorder="1" applyAlignment="1" applyProtection="1">
      <alignment horizontal="center" vertical="center" wrapText="1"/>
      <protection locked="0"/>
    </xf>
    <xf numFmtId="0" fontId="72" fillId="0" borderId="19" xfId="0" applyFont="1" applyBorder="1" applyAlignment="1">
      <alignment horizontal="left" vertical="center" wrapText="1"/>
    </xf>
    <xf numFmtId="0" fontId="72" fillId="0" borderId="20" xfId="0" applyFont="1" applyBorder="1" applyAlignment="1">
      <alignment horizontal="left" vertical="center" wrapText="1"/>
    </xf>
    <xf numFmtId="0" fontId="72" fillId="0" borderId="21" xfId="0" applyFont="1" applyBorder="1" applyAlignment="1">
      <alignment horizontal="left" vertical="center" wrapText="1"/>
    </xf>
    <xf numFmtId="0" fontId="72" fillId="0" borderId="24" xfId="0" applyFont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 wrapText="1"/>
    </xf>
    <xf numFmtId="0" fontId="4" fillId="33" borderId="40" xfId="0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center" vertical="center" wrapText="1"/>
    </xf>
    <xf numFmtId="0" fontId="4" fillId="33" borderId="41" xfId="0" applyFont="1" applyFill="1" applyBorder="1" applyAlignment="1">
      <alignment horizontal="center" vertical="center" wrapText="1"/>
    </xf>
    <xf numFmtId="0" fontId="7" fillId="33" borderId="42" xfId="0" applyFont="1" applyFill="1" applyBorder="1" applyAlignment="1">
      <alignment/>
    </xf>
    <xf numFmtId="0" fontId="4" fillId="34" borderId="12" xfId="0" applyFont="1" applyFill="1" applyBorder="1" applyAlignment="1">
      <alignment horizontal="left" vertical="center" wrapText="1"/>
    </xf>
    <xf numFmtId="0" fontId="4" fillId="34" borderId="18" xfId="0" applyFont="1" applyFill="1" applyBorder="1" applyAlignment="1">
      <alignment horizontal="left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4" fillId="34" borderId="26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4" fillId="34" borderId="0" xfId="0" applyFont="1" applyFill="1" applyAlignment="1">
      <alignment horizontal="center" vertical="center" wrapText="1"/>
    </xf>
    <xf numFmtId="0" fontId="4" fillId="34" borderId="25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16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33" borderId="43" xfId="0" applyFont="1" applyFill="1" applyBorder="1" applyAlignment="1" applyProtection="1">
      <alignment horizontal="center" vertical="center" wrapText="1"/>
      <protection locked="0"/>
    </xf>
    <xf numFmtId="0" fontId="4" fillId="33" borderId="44" xfId="0" applyFont="1" applyFill="1" applyBorder="1" applyAlignment="1" applyProtection="1">
      <alignment horizontal="center" vertical="center" wrapText="1"/>
      <protection locked="0"/>
    </xf>
    <xf numFmtId="0" fontId="4" fillId="0" borderId="45" xfId="0" applyFont="1" applyBorder="1" applyAlignment="1">
      <alignment horizontal="center" vertical="center" wrapText="1"/>
    </xf>
    <xf numFmtId="0" fontId="7" fillId="0" borderId="46" xfId="0" applyFont="1" applyBorder="1" applyAlignment="1">
      <alignment/>
    </xf>
    <xf numFmtId="0" fontId="7" fillId="0" borderId="47" xfId="0" applyFont="1" applyBorder="1" applyAlignment="1">
      <alignment/>
    </xf>
    <xf numFmtId="0" fontId="7" fillId="33" borderId="40" xfId="0" applyFont="1" applyFill="1" applyBorder="1" applyAlignment="1">
      <alignment horizontal="center" vertical="center"/>
    </xf>
    <xf numFmtId="0" fontId="7" fillId="33" borderId="48" xfId="0" applyFont="1" applyFill="1" applyBorder="1" applyAlignment="1">
      <alignment horizontal="center" vertical="center"/>
    </xf>
    <xf numFmtId="0" fontId="69" fillId="0" borderId="10" xfId="0" applyFont="1" applyBorder="1" applyAlignment="1">
      <alignment horizontal="center" vertical="center" wrapText="1"/>
    </xf>
    <xf numFmtId="0" fontId="69" fillId="0" borderId="10" xfId="0" applyFont="1" applyBorder="1" applyAlignment="1">
      <alignment/>
    </xf>
    <xf numFmtId="0" fontId="69" fillId="0" borderId="15" xfId="0" applyFont="1" applyBorder="1" applyAlignment="1">
      <alignment/>
    </xf>
    <xf numFmtId="0" fontId="4" fillId="34" borderId="1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9CC00"/>
    <pageSetUpPr fitToPage="1"/>
  </sheetPr>
  <dimension ref="A1:AK232"/>
  <sheetViews>
    <sheetView tabSelected="1" zoomScale="75" zoomScaleNormal="75" zoomScaleSheetLayoutView="50" zoomScalePageLayoutView="55" workbookViewId="0" topLeftCell="A1">
      <pane ySplit="15" topLeftCell="A16" activePane="bottomLeft" state="frozen"/>
      <selection pane="topLeft" activeCell="A2" sqref="A2:I2"/>
      <selection pane="bottomLeft" activeCell="O6" sqref="O6"/>
    </sheetView>
  </sheetViews>
  <sheetFormatPr defaultColWidth="9.140625" defaultRowHeight="15"/>
  <cols>
    <col min="1" max="1" width="55.7109375" style="2" customWidth="1"/>
    <col min="2" max="2" width="14.00390625" style="2" customWidth="1"/>
    <col min="3" max="3" width="13.140625" style="2" customWidth="1"/>
    <col min="4" max="4" width="15.57421875" style="2" customWidth="1"/>
    <col min="5" max="6" width="14.421875" style="2" customWidth="1"/>
    <col min="7" max="7" width="12.57421875" style="2" customWidth="1"/>
    <col min="8" max="8" width="13.57421875" style="2" customWidth="1"/>
    <col min="9" max="9" width="14.8515625" style="2" customWidth="1"/>
    <col min="10" max="10" width="14.140625" style="2" hidden="1" customWidth="1"/>
    <col min="11" max="11" width="14.00390625" style="2" hidden="1" customWidth="1"/>
    <col min="12" max="13" width="13.7109375" style="2" hidden="1" customWidth="1"/>
    <col min="14" max="14" width="25.28125" style="2" customWidth="1"/>
    <col min="15" max="15" width="54.28125" style="2" customWidth="1"/>
    <col min="16" max="16" width="9.00390625" style="2" customWidth="1"/>
    <col min="17" max="17" width="13.8515625" style="2" customWidth="1"/>
    <col min="18" max="18" width="10.8515625" style="2" customWidth="1"/>
    <col min="19" max="16384" width="9.140625" style="2" customWidth="1"/>
  </cols>
  <sheetData>
    <row r="1" spans="1:9" ht="12.75">
      <c r="A1" s="190"/>
      <c r="B1" s="190"/>
      <c r="C1" s="190"/>
      <c r="D1" s="190"/>
      <c r="E1" s="1"/>
      <c r="F1" s="1"/>
      <c r="H1" s="70" t="s">
        <v>230</v>
      </c>
      <c r="I1" s="4">
        <v>45131</v>
      </c>
    </row>
    <row r="2" spans="1:15" ht="27" customHeight="1" thickBot="1">
      <c r="A2" s="193" t="s">
        <v>249</v>
      </c>
      <c r="B2" s="193"/>
      <c r="C2" s="193"/>
      <c r="D2" s="193"/>
      <c r="E2" s="193"/>
      <c r="F2" s="193"/>
      <c r="G2" s="193"/>
      <c r="H2" s="193"/>
      <c r="I2" s="193"/>
      <c r="J2" s="73"/>
      <c r="K2" s="70"/>
      <c r="L2" s="70"/>
      <c r="O2" s="4"/>
    </row>
    <row r="3" spans="1:15" ht="16.5" customHeight="1">
      <c r="A3" s="5"/>
      <c r="B3" s="6"/>
      <c r="H3" s="7"/>
      <c r="I3" s="7"/>
      <c r="K3" s="8"/>
      <c r="L3" s="8"/>
      <c r="M3" s="8"/>
      <c r="N3" s="9"/>
      <c r="O3" s="9"/>
    </row>
    <row r="4" spans="1:15" ht="16.5" customHeight="1">
      <c r="A4" s="189" t="s">
        <v>238</v>
      </c>
      <c r="B4" s="195" t="s">
        <v>65</v>
      </c>
      <c r="C4" s="195"/>
      <c r="D4" s="195"/>
      <c r="E4" s="195"/>
      <c r="F4" s="195"/>
      <c r="G4" s="195"/>
      <c r="H4" s="195"/>
      <c r="I4" s="195"/>
      <c r="K4" s="8"/>
      <c r="L4" s="8"/>
      <c r="M4" s="8"/>
      <c r="N4" s="9"/>
      <c r="O4" s="9"/>
    </row>
    <row r="5" spans="1:15" ht="16.5" customHeight="1">
      <c r="A5" s="189"/>
      <c r="B5" s="196" t="s">
        <v>71</v>
      </c>
      <c r="C5" s="196"/>
      <c r="D5" s="196" t="s">
        <v>72</v>
      </c>
      <c r="E5" s="196"/>
      <c r="F5" s="196" t="s">
        <v>73</v>
      </c>
      <c r="G5" s="196"/>
      <c r="H5" s="196" t="s">
        <v>74</v>
      </c>
      <c r="I5" s="196"/>
      <c r="K5" s="8"/>
      <c r="N5" s="9"/>
      <c r="O5" s="9"/>
    </row>
    <row r="6" spans="1:15" ht="16.5" customHeight="1">
      <c r="A6" s="96" t="s">
        <v>231</v>
      </c>
      <c r="B6" s="194">
        <v>0</v>
      </c>
      <c r="C6" s="194"/>
      <c r="D6" s="194">
        <v>0</v>
      </c>
      <c r="E6" s="194"/>
      <c r="F6" s="194">
        <v>0</v>
      </c>
      <c r="G6" s="194"/>
      <c r="H6" s="194">
        <v>0</v>
      </c>
      <c r="I6" s="194"/>
      <c r="K6" s="8"/>
      <c r="N6" s="6" t="s">
        <v>234</v>
      </c>
      <c r="O6" s="9"/>
    </row>
    <row r="7" spans="1:15" ht="16.5" customHeight="1">
      <c r="A7" s="96" t="s">
        <v>80</v>
      </c>
      <c r="B7" s="194">
        <v>0</v>
      </c>
      <c r="C7" s="194"/>
      <c r="D7" s="194">
        <v>0</v>
      </c>
      <c r="E7" s="194"/>
      <c r="F7" s="194">
        <v>0</v>
      </c>
      <c r="G7" s="194"/>
      <c r="H7" s="194">
        <v>0</v>
      </c>
      <c r="I7" s="194"/>
      <c r="K7" s="8"/>
      <c r="N7" s="6" t="s">
        <v>236</v>
      </c>
      <c r="O7" s="9"/>
    </row>
    <row r="8" spans="1:15" ht="16.5" customHeight="1">
      <c r="A8" s="96" t="s">
        <v>83</v>
      </c>
      <c r="B8" s="194">
        <v>0</v>
      </c>
      <c r="C8" s="194"/>
      <c r="D8" s="194">
        <v>0</v>
      </c>
      <c r="E8" s="194"/>
      <c r="F8" s="194">
        <v>0</v>
      </c>
      <c r="G8" s="194"/>
      <c r="H8" s="194">
        <v>0</v>
      </c>
      <c r="I8" s="194"/>
      <c r="N8" s="6" t="s">
        <v>237</v>
      </c>
      <c r="O8" s="9"/>
    </row>
    <row r="9" spans="1:15" ht="16.5" customHeight="1">
      <c r="A9" s="97" t="s">
        <v>85</v>
      </c>
      <c r="B9" s="194">
        <v>0</v>
      </c>
      <c r="C9" s="194"/>
      <c r="D9" s="194">
        <v>0</v>
      </c>
      <c r="E9" s="194"/>
      <c r="F9" s="194">
        <v>0</v>
      </c>
      <c r="G9" s="194"/>
      <c r="H9" s="194">
        <v>0</v>
      </c>
      <c r="I9" s="194"/>
      <c r="N9" s="6" t="s">
        <v>237</v>
      </c>
      <c r="O9" s="9"/>
    </row>
    <row r="10" spans="1:15" ht="16.5" customHeight="1">
      <c r="A10" s="97" t="s">
        <v>87</v>
      </c>
      <c r="B10" s="194">
        <v>0</v>
      </c>
      <c r="C10" s="194"/>
      <c r="D10" s="194">
        <v>0</v>
      </c>
      <c r="E10" s="194"/>
      <c r="F10" s="194">
        <v>0</v>
      </c>
      <c r="G10" s="194"/>
      <c r="H10" s="194">
        <v>0</v>
      </c>
      <c r="I10" s="194"/>
      <c r="N10" s="6" t="s">
        <v>237</v>
      </c>
      <c r="O10" s="9"/>
    </row>
    <row r="11" spans="1:15" ht="16.5" customHeight="1">
      <c r="A11" s="96" t="s">
        <v>90</v>
      </c>
      <c r="B11" s="194" t="s">
        <v>91</v>
      </c>
      <c r="C11" s="194"/>
      <c r="D11" s="194" t="s">
        <v>91</v>
      </c>
      <c r="E11" s="194"/>
      <c r="F11" s="194" t="s">
        <v>91</v>
      </c>
      <c r="G11" s="194"/>
      <c r="H11" s="194" t="s">
        <v>91</v>
      </c>
      <c r="I11" s="194"/>
      <c r="N11" s="6" t="s">
        <v>234</v>
      </c>
      <c r="O11" s="9"/>
    </row>
    <row r="12" spans="1:15" ht="16.5" customHeight="1">
      <c r="A12" s="96" t="s">
        <v>252</v>
      </c>
      <c r="B12" s="191" t="s">
        <v>91</v>
      </c>
      <c r="C12" s="192"/>
      <c r="D12" s="191" t="s">
        <v>91</v>
      </c>
      <c r="E12" s="192"/>
      <c r="F12" s="191" t="s">
        <v>91</v>
      </c>
      <c r="G12" s="192"/>
      <c r="H12" s="191" t="s">
        <v>91</v>
      </c>
      <c r="I12" s="192"/>
      <c r="N12" s="6" t="s">
        <v>234</v>
      </c>
      <c r="O12" s="9"/>
    </row>
    <row r="13" spans="1:15" ht="29.25" customHeight="1">
      <c r="A13" s="96" t="s">
        <v>253</v>
      </c>
      <c r="B13" s="197" t="s">
        <v>91</v>
      </c>
      <c r="C13" s="198"/>
      <c r="D13" s="197" t="s">
        <v>91</v>
      </c>
      <c r="E13" s="198"/>
      <c r="F13" s="197" t="s">
        <v>91</v>
      </c>
      <c r="G13" s="198"/>
      <c r="H13" s="197" t="s">
        <v>91</v>
      </c>
      <c r="I13" s="198"/>
      <c r="N13" s="6" t="s">
        <v>234</v>
      </c>
      <c r="O13" s="9"/>
    </row>
    <row r="14" spans="1:15" ht="19.5" customHeight="1">
      <c r="A14" s="96" t="s">
        <v>285</v>
      </c>
      <c r="B14" s="197" t="s">
        <v>28</v>
      </c>
      <c r="C14" s="198"/>
      <c r="D14" s="197" t="s">
        <v>28</v>
      </c>
      <c r="E14" s="198"/>
      <c r="F14" s="197" t="s">
        <v>28</v>
      </c>
      <c r="G14" s="198"/>
      <c r="H14" s="197" t="s">
        <v>28</v>
      </c>
      <c r="I14" s="198"/>
      <c r="N14" s="6" t="s">
        <v>234</v>
      </c>
      <c r="O14" s="9"/>
    </row>
    <row r="15" spans="1:15" ht="30" customHeight="1">
      <c r="A15" s="96" t="s">
        <v>353</v>
      </c>
      <c r="B15" s="197" t="s">
        <v>91</v>
      </c>
      <c r="C15" s="198"/>
      <c r="D15" s="197" t="s">
        <v>91</v>
      </c>
      <c r="E15" s="198"/>
      <c r="F15" s="197" t="s">
        <v>91</v>
      </c>
      <c r="G15" s="198"/>
      <c r="H15" s="197" t="s">
        <v>91</v>
      </c>
      <c r="I15" s="198"/>
      <c r="N15" s="6" t="s">
        <v>234</v>
      </c>
      <c r="O15" s="9"/>
    </row>
    <row r="16" spans="8:15" ht="16.5" customHeight="1">
      <c r="H16" s="7"/>
      <c r="I16" s="7"/>
      <c r="K16" s="8"/>
      <c r="L16" s="8"/>
      <c r="M16" s="8"/>
      <c r="N16" s="9"/>
      <c r="O16" s="9"/>
    </row>
    <row r="17" spans="1:15" ht="16.5" customHeight="1">
      <c r="A17" s="5"/>
      <c r="H17" s="7"/>
      <c r="I17" s="7"/>
      <c r="K17" s="8"/>
      <c r="L17" s="8"/>
      <c r="M17" s="8"/>
      <c r="N17" s="9"/>
      <c r="O17" s="9"/>
    </row>
    <row r="18" spans="1:15" ht="16.5" customHeight="1">
      <c r="A18" s="203" t="s">
        <v>345</v>
      </c>
      <c r="B18" s="203"/>
      <c r="C18" s="203"/>
      <c r="D18" s="6" t="s">
        <v>346</v>
      </c>
      <c r="H18" s="7"/>
      <c r="I18" s="7"/>
      <c r="K18" s="8"/>
      <c r="L18" s="8"/>
      <c r="M18" s="8"/>
      <c r="N18" s="9"/>
      <c r="O18" s="9"/>
    </row>
    <row r="19" spans="1:15" ht="21.75" customHeight="1">
      <c r="A19" s="203" t="s">
        <v>141</v>
      </c>
      <c r="B19" s="203"/>
      <c r="C19" s="203"/>
      <c r="D19" s="6" t="s">
        <v>240</v>
      </c>
      <c r="H19" s="7"/>
      <c r="I19" s="7"/>
      <c r="K19" s="8"/>
      <c r="L19" s="8"/>
      <c r="M19" s="8"/>
      <c r="N19" s="9"/>
      <c r="O19" s="9"/>
    </row>
    <row r="20" spans="1:15" ht="54.75" customHeight="1">
      <c r="A20" s="47" t="s">
        <v>259</v>
      </c>
      <c r="B20" s="223">
        <f>IF(A18="Республика Беларусь",(J83+K83+L83+M83)*Belarus,J83+K83+L83+M83)</f>
        <v>0</v>
      </c>
      <c r="C20" s="223"/>
      <c r="D20" s="218" t="s">
        <v>325</v>
      </c>
      <c r="E20" s="219"/>
      <c r="F20" s="219"/>
      <c r="G20" s="219"/>
      <c r="H20" s="219"/>
      <c r="I20" s="219"/>
      <c r="K20" s="8"/>
      <c r="L20" s="8"/>
      <c r="M20" s="8"/>
      <c r="N20" s="9"/>
      <c r="O20" s="9"/>
    </row>
    <row r="21" spans="1:15" ht="16.5" customHeight="1">
      <c r="A21" s="67" t="s">
        <v>260</v>
      </c>
      <c r="B21" s="201">
        <f>IF(OR(B8=0,B7=0),0,B20/(B8*B7+D8*D7+F8*F7+H8*H7))</f>
        <v>0</v>
      </c>
      <c r="C21" s="201"/>
      <c r="H21" s="7"/>
      <c r="I21" s="7"/>
      <c r="K21" s="8"/>
      <c r="L21" s="8"/>
      <c r="M21" s="8"/>
      <c r="N21" s="9"/>
      <c r="O21" s="9"/>
    </row>
    <row r="22" spans="1:15" ht="16.5" customHeight="1">
      <c r="A22" s="6" t="s">
        <v>258</v>
      </c>
      <c r="B22" s="6"/>
      <c r="H22" s="7"/>
      <c r="I22" s="7"/>
      <c r="K22" s="8"/>
      <c r="L22" s="8"/>
      <c r="M22" s="8"/>
      <c r="N22" s="9"/>
      <c r="O22" s="9"/>
    </row>
    <row r="23" spans="1:15" ht="16.5" customHeight="1">
      <c r="A23" s="5"/>
      <c r="B23" s="6"/>
      <c r="H23" s="7"/>
      <c r="I23" s="7"/>
      <c r="K23" s="8"/>
      <c r="L23" s="8"/>
      <c r="M23" s="8"/>
      <c r="N23" s="9"/>
      <c r="O23" s="9"/>
    </row>
    <row r="24" spans="1:15" ht="16.5" customHeight="1">
      <c r="A24" s="195" t="s">
        <v>239</v>
      </c>
      <c r="B24" s="220" t="s">
        <v>2</v>
      </c>
      <c r="C24" s="221"/>
      <c r="D24" s="221" t="s">
        <v>3</v>
      </c>
      <c r="E24" s="221"/>
      <c r="F24" s="221" t="s">
        <v>4</v>
      </c>
      <c r="G24" s="221"/>
      <c r="H24" s="221" t="s">
        <v>5</v>
      </c>
      <c r="I24" s="222"/>
      <c r="J24" s="217" t="s">
        <v>6</v>
      </c>
      <c r="K24" s="217"/>
      <c r="L24" s="217"/>
      <c r="M24" s="217"/>
      <c r="O24" s="9"/>
    </row>
    <row r="25" spans="1:15" ht="16.5" customHeight="1">
      <c r="A25" s="195"/>
      <c r="B25" s="98" t="s">
        <v>15</v>
      </c>
      <c r="C25" s="99" t="s">
        <v>16</v>
      </c>
      <c r="D25" s="100" t="s">
        <v>15</v>
      </c>
      <c r="E25" s="99" t="s">
        <v>16</v>
      </c>
      <c r="F25" s="100" t="s">
        <v>15</v>
      </c>
      <c r="G25" s="99" t="s">
        <v>16</v>
      </c>
      <c r="H25" s="100" t="s">
        <v>15</v>
      </c>
      <c r="I25" s="98" t="s">
        <v>16</v>
      </c>
      <c r="J25" s="74">
        <v>1</v>
      </c>
      <c r="K25" s="74">
        <v>2</v>
      </c>
      <c r="L25" s="74">
        <v>3</v>
      </c>
      <c r="M25" s="74">
        <v>4</v>
      </c>
      <c r="O25" s="9"/>
    </row>
    <row r="26" spans="1:15" ht="16.5" customHeight="1">
      <c r="A26" s="101" t="s">
        <v>155</v>
      </c>
      <c r="B26" s="101"/>
      <c r="C26" s="102"/>
      <c r="D26" s="103"/>
      <c r="E26" s="104"/>
      <c r="F26" s="103"/>
      <c r="G26" s="104"/>
      <c r="H26" s="103"/>
      <c r="I26" s="105"/>
      <c r="J26" s="75"/>
      <c r="K26" s="75"/>
      <c r="L26" s="75"/>
      <c r="M26" s="75"/>
      <c r="O26" s="9"/>
    </row>
    <row r="27" spans="1:15" ht="16.5" customHeight="1">
      <c r="A27" s="67" t="s">
        <v>233</v>
      </c>
      <c r="B27" s="78">
        <f>IF(B7=0,0,B7-0.01)</f>
        <v>0</v>
      </c>
      <c r="C27" s="79">
        <f>IF(B27=0,0,B8*ROUNDDOWN(B6/(110/1000),0))</f>
        <v>0</v>
      </c>
      <c r="D27" s="80">
        <f>IF(D7=0,0,D7-0.01)</f>
        <v>0</v>
      </c>
      <c r="E27" s="79">
        <f>IF(D27=0,0,D8*ROUNDDOWN(D6/(110/1000),0))</f>
        <v>0</v>
      </c>
      <c r="F27" s="80">
        <f>IF(F7=0,0,F7-0.01)</f>
        <v>0</v>
      </c>
      <c r="G27" s="79">
        <f>IF(F27=0,0,F8*ROUNDDOWN(F6/(110/1000),0))</f>
        <v>0</v>
      </c>
      <c r="H27" s="80">
        <f>IF(H7=0,0,H7-0.01)</f>
        <v>0</v>
      </c>
      <c r="I27" s="81">
        <f>IF(H27=0,0,H8*ROUNDDOWN(H6/(110/1000),0))</f>
        <v>0</v>
      </c>
      <c r="J27" s="180">
        <f>IF(C27=0,0,VLOOKUP($A$19,'Цены Жалюзи'!$B$37:$R$61,2,FALSE)*B27*C27)</f>
        <v>0</v>
      </c>
      <c r="K27" s="180">
        <f>IF(E27=0,0,VLOOKUP($A$19,'Цены Жалюзи'!$B$37:$R$61,2,FALSE)*D27*E27)</f>
        <v>0</v>
      </c>
      <c r="L27" s="180">
        <f>IF(G27=0,0,VLOOKUP($A$19,'Цены Жалюзи'!$B$37:$R$61,2,FALSE)*F27*G27)</f>
        <v>0</v>
      </c>
      <c r="M27" s="180">
        <f>IF(I27=0,0,VLOOKUP($A$19,'Цены Жалюзи'!$B$37:$R$61,2,FALSE)*H27*I27)</f>
        <v>0</v>
      </c>
      <c r="O27" s="9"/>
    </row>
    <row r="28" spans="1:15" ht="16.5" customHeight="1">
      <c r="A28" s="67" t="s">
        <v>220</v>
      </c>
      <c r="B28" s="78">
        <f>IF(B7=0,0,B7-0.01)</f>
        <v>0</v>
      </c>
      <c r="C28" s="79">
        <f>IF(B28=0,0,B8)</f>
        <v>0</v>
      </c>
      <c r="D28" s="80">
        <f>IF(D7=0,0,D7-0.01)</f>
        <v>0</v>
      </c>
      <c r="E28" s="79">
        <f>IF(D28=0,0,D8)</f>
        <v>0</v>
      </c>
      <c r="F28" s="80">
        <f>IF(F7=0,0,F7-0.01)</f>
        <v>0</v>
      </c>
      <c r="G28" s="79">
        <f>IF(F28=0,0,F8)</f>
        <v>0</v>
      </c>
      <c r="H28" s="80">
        <f>IF(H7=0,0,H7-0.01)</f>
        <v>0</v>
      </c>
      <c r="I28" s="81">
        <f>IF(H28=0,0,H8)</f>
        <v>0</v>
      </c>
      <c r="J28" s="180">
        <f>IF(C28=0,0,VLOOKUP($A$19,'Цены Жалюзи'!$B$37:$R$61,14,FALSE)*B28*C28)</f>
        <v>0</v>
      </c>
      <c r="K28" s="180">
        <f>IF(E28=0,0,VLOOKUP($A$19,'Цены Жалюзи'!$B$37:$R$61,14,FALSE)*D28*E28)</f>
        <v>0</v>
      </c>
      <c r="L28" s="180">
        <f>IF(G28=0,0,VLOOKUP($A$19,'Цены Жалюзи'!$B$37:$R$61,14,FALSE)*F28*G28)</f>
        <v>0</v>
      </c>
      <c r="M28" s="180">
        <f>IF(I28=0,0,VLOOKUP($A$19,'Цены Жалюзи'!$B$37:$R$61,14,FALSE)*H28*I28)</f>
        <v>0</v>
      </c>
      <c r="O28" s="9"/>
    </row>
    <row r="29" spans="1:15" ht="16.5" customHeight="1">
      <c r="A29" s="67" t="s">
        <v>7</v>
      </c>
      <c r="B29" s="78">
        <f>IF(AND(B6&gt;0,B11="да"),0,B6)</f>
        <v>0</v>
      </c>
      <c r="C29" s="79">
        <f>IF(B29=0,0,IF(B8=0,0,IF(B8=1,2*2,IF(B10=0,(B8+1)*2-C30,(B8+1+B10)*2-C30))))</f>
        <v>0</v>
      </c>
      <c r="D29" s="80">
        <f>IF(AND(D6&gt;0,D11="да"),0,D6)</f>
        <v>0</v>
      </c>
      <c r="E29" s="79">
        <f>IF(D29=0,0,IF(D8=0,0,IF(D8=1,2*2,IF(D10=0,(D8+1)*2-E30,(D8+1+D10)*2-E30))))</f>
        <v>0</v>
      </c>
      <c r="F29" s="80">
        <f>IF(AND(F6&gt;0,F11="да"),0,F6)</f>
        <v>0</v>
      </c>
      <c r="G29" s="79">
        <f>IF(F29=0,0,IF(F8=0,0,IF(F8=1,2*2,IF(F10=0,(F8+1)*2-G30,(F8+1+F10)*2-G30))))</f>
        <v>0</v>
      </c>
      <c r="H29" s="80">
        <f>IF(AND(H6&gt;0,H11="да"),0,H6)</f>
        <v>0</v>
      </c>
      <c r="I29" s="81">
        <f>IF(H29=0,0,IF(H8=0,0,IF(H8=1,2*2,IF(H10=0,(H8+1)*2-I30,(H8+1+H10)*2-I30))))</f>
        <v>0</v>
      </c>
      <c r="J29" s="180">
        <f>IF(C29=0,0,IF(B14="столб 62х55",VLOOKUP($A$19,'Цены Жалюзи'!$B$37:$R$61,4,FALSE)*B29*C29,IF(B14="столб 60х60",VLOOKUP($A$19,'Цены Жалюзи'!$B$37:$R$61,5,FALSE)*B29*C29,IF(B14="столб 80х80",VLOOKUP($A$19,'Цены Жалюзи'!$B$37:$R$61,6,FALSE)*B29*C29,0))))</f>
        <v>0</v>
      </c>
      <c r="K29" s="180">
        <f>IF(E29=0,0,IF(D14="столб 62х55",VLOOKUP($A$19,'Цены Жалюзи'!$B$37:$R$61,4,FALSE)*D29*E29,IF(D14="столб 60х60",VLOOKUP($A$19,'Цены Жалюзи'!$B$37:$R$61,5,FALSE)*D29*E29,IF(D14="столб 80х80",VLOOKUP($A$19,'Цены Жалюзи'!$B$37:$R$61,6,FALSE)*D29*E29,0))))</f>
        <v>0</v>
      </c>
      <c r="L29" s="180">
        <f>IF(G29=0,0,IF(F14="столб 62х55",VLOOKUP($A$19,'Цены Жалюзи'!$B$37:$R$61,4,FALSE)*F29*G29,IF(F14="столб 60х60",VLOOKUP($A$19,'Цены Жалюзи'!$B$37:$R$61,5,FALSE)*F29*G29,IF(F14="столб 80х80",VLOOKUP($A$19,'Цены Жалюзи'!$B$37:$R$61,6,FALSE)*F29*G29,0))))</f>
        <v>0</v>
      </c>
      <c r="M29" s="180">
        <f>IF(I29=0,0,IF(H14="столб 62х55",VLOOKUP($A$19,'Цены Жалюзи'!$B$37:$R$61,4,FALSE)*H29*I29,IF(H14="столб 60х60",VLOOKUP($A$19,'Цены Жалюзи'!$B$37:$R$61,5,FALSE)*H29*I29,IF(H14="столб 80х80",VLOOKUP($A$19,'Цены Жалюзи'!$B$37:$R$61,6,FALSE)*H29*I29,0))))</f>
        <v>0</v>
      </c>
      <c r="N29" s="136"/>
      <c r="O29" s="9"/>
    </row>
    <row r="30" spans="1:15" ht="16.5" customHeight="1">
      <c r="A30" s="67" t="s">
        <v>25</v>
      </c>
      <c r="B30" s="78">
        <f>IF(OR(AND(B9=0,B10=0),B11="да"),0,B6)</f>
        <v>0</v>
      </c>
      <c r="C30" s="79">
        <f>IF(B30=0,0,B9+B10*2)</f>
        <v>0</v>
      </c>
      <c r="D30" s="80">
        <f>IF(OR(AND(D9=0,D10=0),D11="да"),0,D6)</f>
        <v>0</v>
      </c>
      <c r="E30" s="79">
        <f>IF(D30=0,0,D9+D10*2)</f>
        <v>0</v>
      </c>
      <c r="F30" s="80">
        <f>IF(OR(AND(F9=0,F10=0),F11="да"),0,F6)</f>
        <v>0</v>
      </c>
      <c r="G30" s="79">
        <f>IF(F30=0,0,F9+F10*2)</f>
        <v>0</v>
      </c>
      <c r="H30" s="80">
        <f>IF(OR(AND(H9=0,H10=0),H11="да"),0,H6)</f>
        <v>0</v>
      </c>
      <c r="I30" s="81">
        <f>IF(H30=0,0,H9+H10*2)</f>
        <v>0</v>
      </c>
      <c r="J30" s="180">
        <f>IF(C30=0,0,IF(B14="столб 62х55",VLOOKUP($A$19,'Цены Жалюзи'!$B$37:$R$61,7,FALSE)*B30*C30,IF(B14="столб 60х60",VLOOKUP($A$19,'Цены Жалюзи'!$B$37:$R$61,8,FALSE)*B30*C30,IF(B14="столб 80х80",VLOOKUP($A$19,'Цены Жалюзи'!$B$37:$R$61,9,FALSE)*B30*C30,0))))</f>
        <v>0</v>
      </c>
      <c r="K30" s="180">
        <f>IF(E30=0,0,IF(D14="столб 62х55",VLOOKUP($A$19,'Цены Жалюзи'!$B$37:$R$61,7,FALSE)*D30*E30,IF(D14="столб 60х60",VLOOKUP($A$19,'Цены Жалюзи'!$B$37:$R$61,8,FALSE)*D30*E30,IF(D14="столб 80х80",VLOOKUP($A$19,'Цены Жалюзи'!$B$37:$R$61,9,FALSE)*D30*E30,0))))</f>
        <v>0</v>
      </c>
      <c r="L30" s="180">
        <f>IF(G30=0,0,IF(F14="столб 62х55",VLOOKUP($A$19,'Цены Жалюзи'!$B$37:$R$61,7,FALSE)*F30*G30,IF(F14="столб 60х60",VLOOKUP($A$19,'Цены Жалюзи'!$B$37:$R$61,8,FALSE)*F30*G30,IF(F14="столб 80х80",VLOOKUP($A$19,'Цены Жалюзи'!$B$37:$R$61,9,FALSE)*F30*G30,0))))</f>
        <v>0</v>
      </c>
      <c r="M30" s="180">
        <f>IF(I30=0,0,IF(H14="столб 62х55",VLOOKUP($A$19,'Цены Жалюзи'!$B$37:$R$61,7,FALSE)*H30*I30,IF(H14="столб 60х60",VLOOKUP($A$19,'Цены Жалюзи'!$B$37:$R$61,8,FALSE)*H30*I30,IF(H14="столб 80х80",VLOOKUP($A$19,'Цены Жалюзи'!$B$37:$R$61,9,FALSE)*H30*I30,0))))</f>
        <v>0</v>
      </c>
      <c r="O30" s="9"/>
    </row>
    <row r="31" spans="1:15" ht="16.5" customHeight="1">
      <c r="A31" s="67" t="s">
        <v>9</v>
      </c>
      <c r="B31" s="78">
        <f>IF(B8=0,0,B6)</f>
        <v>0</v>
      </c>
      <c r="C31" s="79">
        <f>B8*(ROUNDDOWN(B7/1.01,0))</f>
        <v>0</v>
      </c>
      <c r="D31" s="80">
        <f>IF(D8=0,0,D6)</f>
        <v>0</v>
      </c>
      <c r="E31" s="79">
        <f>D8*(ROUNDDOWN(D7/1.01,0))</f>
        <v>0</v>
      </c>
      <c r="F31" s="80">
        <f>IF(F8=0,0,F6)</f>
        <v>0</v>
      </c>
      <c r="G31" s="79">
        <f>F8*(ROUNDDOWN(F7/1.01,0))</f>
        <v>0</v>
      </c>
      <c r="H31" s="80">
        <f>IF(H8=0,0,H6)</f>
        <v>0</v>
      </c>
      <c r="I31" s="81">
        <f>H8*(ROUNDDOWN(H7/1.01,0))</f>
        <v>0</v>
      </c>
      <c r="J31" s="180">
        <f>IF(C31=0,0,VLOOKUP($A$19,'Цены Жалюзи'!$B$37:$R$61,10,FALSE)*B31*C31)</f>
        <v>0</v>
      </c>
      <c r="K31" s="180">
        <f>IF(E31=0,0,VLOOKUP($A$19,'Цены Жалюзи'!$B$37:$R$61,10,FALSE)*D31*E31)</f>
        <v>0</v>
      </c>
      <c r="L31" s="180">
        <f>IF(G31=0,0,VLOOKUP($A$19,'Цены Жалюзи'!$B$37:$R$61,10,FALSE)*F31*G31)</f>
        <v>0</v>
      </c>
      <c r="M31" s="180">
        <f>IF(I31=0,0,VLOOKUP($A$19,'Цены Жалюзи'!$B$37:$R$61,10,FALSE)*H31*I31)</f>
        <v>0</v>
      </c>
      <c r="O31" s="9"/>
    </row>
    <row r="32" spans="1:15" ht="16.5" customHeight="1">
      <c r="A32" s="67" t="s">
        <v>126</v>
      </c>
      <c r="B32" s="78">
        <f>IF(B8=0,0,B6)</f>
        <v>0</v>
      </c>
      <c r="C32" s="79">
        <f>2*B8</f>
        <v>0</v>
      </c>
      <c r="D32" s="80">
        <f>IF(D8=0,0,D6)</f>
        <v>0</v>
      </c>
      <c r="E32" s="79">
        <f>2*D8</f>
        <v>0</v>
      </c>
      <c r="F32" s="80">
        <f>IF(F8=0,0,F6)</f>
        <v>0</v>
      </c>
      <c r="G32" s="79">
        <f>2*F8</f>
        <v>0</v>
      </c>
      <c r="H32" s="80">
        <f>IF(H8=0,0,H6)</f>
        <v>0</v>
      </c>
      <c r="I32" s="81">
        <f>2*H8</f>
        <v>0</v>
      </c>
      <c r="J32" s="180">
        <f>IF(C32=0,0,VLOOKUP($A$19,'Цены Жалюзи'!$B$37:$R$61,13,FALSE)*B32*C32)</f>
        <v>0</v>
      </c>
      <c r="K32" s="180">
        <f>IF(E32=0,0,VLOOKUP($A$19,'Цены Жалюзи'!$B$37:$R$61,13,FALSE)*D32*E32)</f>
        <v>0</v>
      </c>
      <c r="L32" s="180">
        <f>IF(G32=0,0,VLOOKUP($A$19,'Цены Жалюзи'!$B$37:$R$61,13,FALSE)*F32*G32)</f>
        <v>0</v>
      </c>
      <c r="M32" s="180">
        <f>IF(I32=0,0,VLOOKUP($A$19,'Цены Жалюзи'!$B$37:$R$61,13,FALSE)*H32*I32)</f>
        <v>0</v>
      </c>
      <c r="O32" s="9"/>
    </row>
    <row r="33" spans="1:15" ht="16.5" customHeight="1">
      <c r="A33" s="67" t="s">
        <v>152</v>
      </c>
      <c r="B33" s="78">
        <f>IF(B7=0,0,ROUND(B7,2))</f>
        <v>0</v>
      </c>
      <c r="C33" s="79">
        <f>1*B8</f>
        <v>0</v>
      </c>
      <c r="D33" s="78">
        <f>IF(D7=0,0,ROUND(D7,2))</f>
        <v>0</v>
      </c>
      <c r="E33" s="79">
        <f>1*D8</f>
        <v>0</v>
      </c>
      <c r="F33" s="78">
        <f>IF(F7=0,0,ROUND(F7,2))</f>
        <v>0</v>
      </c>
      <c r="G33" s="79">
        <f>1*F8</f>
        <v>0</v>
      </c>
      <c r="H33" s="78">
        <f>IF(H7=0,0,ROUND(H7,2))</f>
        <v>0</v>
      </c>
      <c r="I33" s="81">
        <f>1*H8</f>
        <v>0</v>
      </c>
      <c r="J33" s="180">
        <f>IF(C33=0,0,VLOOKUP($A$19,'Цены Жалюзи'!$B$37:$R$61,11,FALSE)*B33*C33)</f>
        <v>0</v>
      </c>
      <c r="K33" s="180">
        <f>IF(E33=0,0,VLOOKUP($A$19,'Цены Жалюзи'!$B$37:$R$61,11,FALSE)*D33*E33)</f>
        <v>0</v>
      </c>
      <c r="L33" s="180">
        <f>IF(G33=0,0,VLOOKUP($A$19,'Цены Жалюзи'!$B$37:$R$61,11,FALSE)*F33*G33)</f>
        <v>0</v>
      </c>
      <c r="M33" s="180">
        <f>IF(I33=0,0,VLOOKUP($A$19,'Цены Жалюзи'!$B$37:$R$61,11,FALSE)*H33*I33)</f>
        <v>0</v>
      </c>
      <c r="O33" s="9"/>
    </row>
    <row r="34" spans="1:15" ht="16.5" customHeight="1">
      <c r="A34" s="52" t="s">
        <v>286</v>
      </c>
      <c r="B34" s="82" t="s">
        <v>28</v>
      </c>
      <c r="C34" s="79">
        <f>IF(B11="да",0,(IF(B8=0,0,IF(B8=1,2,IF(B10=0,B8+1,B8+1+B10)))))</f>
        <v>0</v>
      </c>
      <c r="D34" s="83" t="s">
        <v>28</v>
      </c>
      <c r="E34" s="79">
        <f>IF(D11="да",0,(IF(D8=0,0,IF(D8=1,2,IF(D10=0,D8+1,D8+1+D10)))))</f>
        <v>0</v>
      </c>
      <c r="F34" s="83" t="s">
        <v>28</v>
      </c>
      <c r="G34" s="79">
        <f>IF(F11="да",0,(IF(F8=0,0,IF(F8=1,2,IF(F10=0,F8+1,F8+1+F10)))))</f>
        <v>0</v>
      </c>
      <c r="H34" s="83" t="s">
        <v>28</v>
      </c>
      <c r="I34" s="81">
        <f>IF(H11="да",0,(IF(H8=0,0,IF(H8=1,2,IF(H10=0,H8+1,H8+1+H10)))))</f>
        <v>0</v>
      </c>
      <c r="J34" s="180"/>
      <c r="K34" s="180"/>
      <c r="L34" s="180"/>
      <c r="M34" s="180"/>
      <c r="O34" s="9"/>
    </row>
    <row r="35" spans="1:15" ht="16.5" customHeight="1">
      <c r="A35" s="67" t="s">
        <v>27</v>
      </c>
      <c r="B35" s="78" t="s">
        <v>28</v>
      </c>
      <c r="C35" s="79">
        <f>IF(B8=0,0,2)</f>
        <v>0</v>
      </c>
      <c r="D35" s="80" t="s">
        <v>28</v>
      </c>
      <c r="E35" s="79">
        <v>0</v>
      </c>
      <c r="F35" s="80" t="s">
        <v>28</v>
      </c>
      <c r="G35" s="79">
        <v>0</v>
      </c>
      <c r="H35" s="80" t="s">
        <v>28</v>
      </c>
      <c r="I35" s="81">
        <v>0</v>
      </c>
      <c r="J35" s="180">
        <f>IF(C35=0,0,'Цены Жалюзи'!$T$37*2)</f>
        <v>0</v>
      </c>
      <c r="K35" s="180">
        <f>IF(E35=0,0,'Цены Жалюзи'!$T$37*2)</f>
        <v>0</v>
      </c>
      <c r="L35" s="180">
        <f>IF(G35=0,0,'Цены Жалюзи'!$T$37*2)</f>
        <v>0</v>
      </c>
      <c r="M35" s="180">
        <f>IF(I35=0,0,'Цены Жалюзи'!$T$37*2)</f>
        <v>0</v>
      </c>
      <c r="O35" s="9"/>
    </row>
    <row r="36" spans="1:15" ht="16.5" customHeight="1">
      <c r="A36" s="53" t="s">
        <v>34</v>
      </c>
      <c r="B36" s="82" t="str">
        <f>IF(C36=0,"-","5,5х19")</f>
        <v>-</v>
      </c>
      <c r="C36" s="79">
        <f>IF(B11="да",0,(C32*5))</f>
        <v>0</v>
      </c>
      <c r="D36" s="83" t="str">
        <f>IF(E36=0,"-","5,5х19")</f>
        <v>-</v>
      </c>
      <c r="E36" s="79">
        <f>IF(D11="да",0,(E32*5))</f>
        <v>0</v>
      </c>
      <c r="F36" s="83" t="str">
        <f>IF(G36=0,"-","5,5х19")</f>
        <v>-</v>
      </c>
      <c r="G36" s="79">
        <f>IF(F11="да",0,(G32*5))</f>
        <v>0</v>
      </c>
      <c r="H36" s="83" t="str">
        <f>IF(I36=0,"-","5,5х19")</f>
        <v>-</v>
      </c>
      <c r="I36" s="81">
        <f>IF(H11="да",0,(I32*5))</f>
        <v>0</v>
      </c>
      <c r="J36" s="180">
        <f>IF(C36=0,0,IF(OR($A$19="Цинк 0,5",$A$19="Цинк 0,55"),C36*'Цены Жалюзи'!$C$73,C36*'Цены Жалюзи'!$C$74))</f>
        <v>0</v>
      </c>
      <c r="K36" s="180">
        <f>IF(E36=0,0,IF(OR($A$19="Цинк 0,5",$A$19="Цинк 0,55"),E36*'Цены Жалюзи'!$C$73,E36*'Цены Жалюзи'!$C$74))</f>
        <v>0</v>
      </c>
      <c r="L36" s="180">
        <f>IF(G36=0,0,IF(OR($A$19="Цинк 0,5",$A$19="Цинк 0,55"),G36*'Цены Жалюзи'!$C$73,G36*'Цены Жалюзи'!$C$74))</f>
        <v>0</v>
      </c>
      <c r="M36" s="180">
        <f>IF(I36=0,0,IF(OR($A$19="Цинк 0,5",$A$19="Цинк 0,55"),I36*'Цены Жалюзи'!$C$73,I36*'Цены Жалюзи'!$C$74))</f>
        <v>0</v>
      </c>
      <c r="O36" s="9"/>
    </row>
    <row r="37" spans="1:15" ht="16.5" customHeight="1">
      <c r="A37" s="67" t="s">
        <v>36</v>
      </c>
      <c r="B37" s="82" t="str">
        <f>IF(C37=0,"-","4,2x16")</f>
        <v>-</v>
      </c>
      <c r="C37" s="79">
        <f>IF(AND(B15="да",B6=2.01),IF(B8=0,0,C33*4+C28*3+IF(B8&gt;0,C27/B8*C31,0)),IF(B8=0,0,C27*4+C33*4+C28*3+IF(B8&gt;0,C27/B8*C31,0)))</f>
        <v>0</v>
      </c>
      <c r="D37" s="83" t="str">
        <f>IF(E37=0,"-","4,2x16")</f>
        <v>-</v>
      </c>
      <c r="E37" s="79">
        <f>IF(AND(D15="да",D6=2.01),IF(D8=0,0,E33*4+E28*3+IF(D8&gt;0,E27/D8*E31,0)),IF(D8=0,0,E27*4+E33*4+E28*3+IF(D8&gt;0,E27/D8*E31,0)))</f>
        <v>0</v>
      </c>
      <c r="F37" s="83" t="str">
        <f>IF(G37=0,"-","4,2x16")</f>
        <v>-</v>
      </c>
      <c r="G37" s="79">
        <f>IF(AND(F15="да",F6=2.01),IF(F8=0,0,G33*4+G28*3+IF(F8&gt;0,G27/F8*G31,0)),IF(F8=0,0,G27*4+G33*4+G28*3+IF(F8&gt;0,G27/F8*G31,0)))</f>
        <v>0</v>
      </c>
      <c r="H37" s="83" t="str">
        <f>IF(I37=0,"-","4,2x16")</f>
        <v>-</v>
      </c>
      <c r="I37" s="81">
        <f>IF(AND(H15="да",H6=2.01),IF(H8=0,0,I33*4+I28*3+IF(H8&gt;0,I27/H8*I31,0)),IF(H8=0,0,I27*4+I33*4+I28*3+IF(H8&gt;0,I27/H8*I31,0)))</f>
        <v>0</v>
      </c>
      <c r="J37" s="180">
        <f>IF(C37=0,0,IF(OR($A$19="Цинк 0,5",$A$19="Цинк 0,55"),C37*'Цены Жалюзи'!$C$71,C37*'Цены Жалюзи'!$C$72))</f>
        <v>0</v>
      </c>
      <c r="K37" s="180">
        <f>IF(E37=0,0,IF(OR($A$19="Цинк 0,5",$A$19="Цинк 0,55"),E37*'Цены Жалюзи'!$C$71,E37*'Цены Жалюзи'!$C$72))</f>
        <v>0</v>
      </c>
      <c r="L37" s="180">
        <f>IF(G37=0,0,IF(OR($A$19="Цинк 0,5",$A$19="Цинк 0,55"),G37*'Цены Жалюзи'!$C$71,G37*'Цены Жалюзи'!$C$72))</f>
        <v>0</v>
      </c>
      <c r="M37" s="180">
        <f>IF(I37=0,0,IF(OR($A$19="Цинк 0,5",$A$19="Цинк 0,55"),I37*'Цены Жалюзи'!$C$71,I37*'Цены Жалюзи'!$C$72))</f>
        <v>0</v>
      </c>
      <c r="O37" s="9"/>
    </row>
    <row r="38" spans="1:15" ht="16.5" customHeight="1">
      <c r="A38" s="67" t="s">
        <v>306</v>
      </c>
      <c r="B38" s="82" t="str">
        <f>IF(C38=0,"-","7,5x52")</f>
        <v>-</v>
      </c>
      <c r="C38" s="79">
        <f>IF(B$8=0,0,IF(B$11="да",C32*5,0))</f>
        <v>0</v>
      </c>
      <c r="D38" s="82" t="str">
        <f>IF(E38=0,"-","7,5x52")</f>
        <v>-</v>
      </c>
      <c r="E38" s="79">
        <f>IF(D$8=0,0,IF(D$11="да",E32*5,0))</f>
        <v>0</v>
      </c>
      <c r="F38" s="82" t="str">
        <f>IF(G38=0,"-","7,5x52")</f>
        <v>-</v>
      </c>
      <c r="G38" s="79">
        <f>IF(F$8=0,0,IF(F$11="да",G32*5,0))</f>
        <v>0</v>
      </c>
      <c r="H38" s="82" t="str">
        <f>IF(I38=0,"-","7,5x52")</f>
        <v>-</v>
      </c>
      <c r="I38" s="81">
        <f>IF(H$8=0,0,IF(H$11="да",I32*5,0))</f>
        <v>0</v>
      </c>
      <c r="J38" s="180">
        <f>IF(C38=0,0,C38*'Цены Жалюзи'!$C$75)</f>
        <v>0</v>
      </c>
      <c r="K38" s="180">
        <f>IF(E38=0,0,E38*'Цены Жалюзи'!$C$75)</f>
        <v>0</v>
      </c>
      <c r="L38" s="180">
        <f>IF(G38=0,0,G38*'Цены Жалюзи'!$C$75)</f>
        <v>0</v>
      </c>
      <c r="M38" s="180">
        <f>IF(I38=0,0,I38*'Цены Жалюзи'!$C$75)</f>
        <v>0</v>
      </c>
      <c r="O38" s="9"/>
    </row>
    <row r="39" spans="1:15" ht="16.5" customHeight="1">
      <c r="A39" s="67" t="s">
        <v>112</v>
      </c>
      <c r="B39" s="82"/>
      <c r="C39" s="79">
        <f>C38</f>
        <v>0</v>
      </c>
      <c r="D39" s="82"/>
      <c r="E39" s="79">
        <f>E38</f>
        <v>0</v>
      </c>
      <c r="F39" s="82"/>
      <c r="G39" s="79">
        <f>G38</f>
        <v>0</v>
      </c>
      <c r="H39" s="82"/>
      <c r="I39" s="81">
        <f>I38</f>
        <v>0</v>
      </c>
      <c r="J39" s="180">
        <f>IF(C39=0,0,C39*'Цены Жалюзи'!$C$76)</f>
        <v>0</v>
      </c>
      <c r="K39" s="180">
        <f>IF(E39=0,0,E39*'Цены Жалюзи'!$C$76)</f>
        <v>0</v>
      </c>
      <c r="L39" s="180">
        <f>IF(G39=0,0,G39*'Цены Жалюзи'!$C$76)</f>
        <v>0</v>
      </c>
      <c r="M39" s="180">
        <f>IF(I39=0,0,I39*'Цены Жалюзи'!$C$76)</f>
        <v>0</v>
      </c>
      <c r="O39" s="9"/>
    </row>
    <row r="40" spans="1:15" ht="16.5" customHeight="1">
      <c r="A40" s="67" t="s">
        <v>350</v>
      </c>
      <c r="B40" s="82"/>
      <c r="C40" s="79">
        <f>IF(AND(B15="да",B6=2.01),B8,0)</f>
        <v>0</v>
      </c>
      <c r="D40" s="82"/>
      <c r="E40" s="79">
        <f>IF(AND(D15="да",D6=2.01),D8,0)</f>
        <v>0</v>
      </c>
      <c r="F40" s="82"/>
      <c r="G40" s="79">
        <f>IF(AND(F15="да",F6=2.01),F8,0)</f>
        <v>0</v>
      </c>
      <c r="H40" s="82"/>
      <c r="I40" s="81">
        <f>IF(AND(H15="да",H6=2.01),H8,0)</f>
        <v>0</v>
      </c>
      <c r="J40" s="180">
        <f>IF(C40=0,0,C40*'Цены Жалюзи'!$S$37)</f>
        <v>0</v>
      </c>
      <c r="K40" s="180">
        <f>IF(E40=0,0,E40*'Цены Жалюзи'!$S$37)</f>
        <v>0</v>
      </c>
      <c r="L40" s="180">
        <f>IF(G40=0,0,G40*'Цены Жалюзи'!$S$37)</f>
        <v>0</v>
      </c>
      <c r="M40" s="180">
        <f>IF(I40=0,0,I40*'Цены Жалюзи'!$S$37)</f>
        <v>0</v>
      </c>
      <c r="N40" s="76"/>
      <c r="O40" s="9"/>
    </row>
    <row r="41" spans="1:15" ht="16.5" customHeight="1">
      <c r="A41" s="67" t="s">
        <v>351</v>
      </c>
      <c r="B41" s="82"/>
      <c r="C41" s="79">
        <f>IF(AND(B15="да",B6=2.01),B8,0)</f>
        <v>0</v>
      </c>
      <c r="D41" s="82"/>
      <c r="E41" s="79">
        <f>IF(AND(D15="да",D6=2.01),D8,0)</f>
        <v>0</v>
      </c>
      <c r="F41" s="82"/>
      <c r="G41" s="79">
        <f>IF(AND(F15="да",F6=2.01),F8,0)</f>
        <v>0</v>
      </c>
      <c r="H41" s="82"/>
      <c r="I41" s="179">
        <f>IF(AND(H15="да",H6=2.01),H8,0)</f>
        <v>0</v>
      </c>
      <c r="J41" s="180">
        <f>IF(C41=0,0,C41*'Цены Жалюзи'!$S$37)</f>
        <v>0</v>
      </c>
      <c r="K41" s="180">
        <f>IF(E41=0,0,E41*'Цены Жалюзи'!$S$37)</f>
        <v>0</v>
      </c>
      <c r="L41" s="180">
        <f>IF(G41=0,0,G41*'Цены Жалюзи'!$S$37)</f>
        <v>0</v>
      </c>
      <c r="M41" s="180">
        <f>IF(I41=0,0,I41*'Цены Жалюзи'!$S$37)</f>
        <v>0</v>
      </c>
      <c r="N41" s="76"/>
      <c r="O41" s="9"/>
    </row>
    <row r="42" spans="1:15" ht="24" customHeight="1">
      <c r="A42" s="67"/>
      <c r="B42" s="227" t="str">
        <f>IF(AND(B15="да",B6=2.01),"-","Крепежный вкладыш не применяется")</f>
        <v>Крепежный вкладыш не применяется</v>
      </c>
      <c r="C42" s="226"/>
      <c r="D42" s="225" t="str">
        <f>IF(AND(D15="да",D6=2.01),"-","Крепежный вкладыш не применяется")</f>
        <v>Крепежный вкладыш не применяется</v>
      </c>
      <c r="E42" s="226"/>
      <c r="F42" s="225" t="str">
        <f>IF(AND(F15="да",F6=2.01),"-","Крепежный вкладыш не применяется")</f>
        <v>Крепежный вкладыш не применяется</v>
      </c>
      <c r="G42" s="226"/>
      <c r="H42" s="225" t="str">
        <f>IF(AND(H15="да",H6=2.01),"-","Крепежный вкладыш не применяется")</f>
        <v>Крепежный вкладыш не применяется</v>
      </c>
      <c r="I42" s="228"/>
      <c r="J42" s="180"/>
      <c r="K42" s="180"/>
      <c r="L42" s="180"/>
      <c r="M42" s="180"/>
      <c r="N42" s="76"/>
      <c r="O42" s="9"/>
    </row>
    <row r="43" spans="1:15" ht="16.5" customHeight="1">
      <c r="A43" s="101" t="s">
        <v>39</v>
      </c>
      <c r="B43" s="106"/>
      <c r="C43" s="107"/>
      <c r="D43" s="108"/>
      <c r="E43" s="109"/>
      <c r="F43" s="110"/>
      <c r="G43" s="107"/>
      <c r="H43" s="110"/>
      <c r="I43" s="106"/>
      <c r="J43" s="181"/>
      <c r="K43" s="181"/>
      <c r="L43" s="181"/>
      <c r="M43" s="181"/>
      <c r="O43" s="9"/>
    </row>
    <row r="44" spans="1:15" ht="16.5" customHeight="1">
      <c r="A44" s="67" t="s">
        <v>40</v>
      </c>
      <c r="B44" s="84"/>
      <c r="C44" s="79">
        <f>IF($B$12=$A44,1,0)</f>
        <v>0</v>
      </c>
      <c r="D44" s="85"/>
      <c r="E44" s="79">
        <f>IF($D$12=$A44,1,0)</f>
        <v>0</v>
      </c>
      <c r="F44" s="85"/>
      <c r="G44" s="79">
        <f>IF($F$12=$A44,1,0)</f>
        <v>0</v>
      </c>
      <c r="H44" s="85"/>
      <c r="I44" s="81">
        <f>IF($H$12=$A44,1,0)</f>
        <v>0</v>
      </c>
      <c r="J44" s="180">
        <f>IF(C44=0,0,'Цены Жалюзи'!$R$71)</f>
        <v>0</v>
      </c>
      <c r="K44" s="180">
        <f>IF(E44=0,0,'Цены Жалюзи'!$R$71)</f>
        <v>0</v>
      </c>
      <c r="L44" s="180">
        <f>IF(G44=0,0,'Цены Жалюзи'!$R$71)</f>
        <v>0</v>
      </c>
      <c r="M44" s="180">
        <f>IF(I44=0,0,'Цены Жалюзи'!$R$71)</f>
        <v>0</v>
      </c>
      <c r="O44" s="9"/>
    </row>
    <row r="45" spans="1:15" ht="16.5" customHeight="1">
      <c r="A45" s="67" t="s">
        <v>319</v>
      </c>
      <c r="B45" s="84"/>
      <c r="C45" s="79">
        <f>IF($B$12=$A45,1,0)</f>
        <v>0</v>
      </c>
      <c r="D45" s="85"/>
      <c r="E45" s="79">
        <f>IF($D$12=$A45,1,0)</f>
        <v>0</v>
      </c>
      <c r="F45" s="85"/>
      <c r="G45" s="79">
        <f>IF($F$12=$A45,1,0)</f>
        <v>0</v>
      </c>
      <c r="H45" s="85"/>
      <c r="I45" s="81">
        <f>IF($H$12=$A45,1,0)</f>
        <v>0</v>
      </c>
      <c r="J45" s="180">
        <f>IF(C45=0,0,'Цены Жалюзи'!$R$72)</f>
        <v>0</v>
      </c>
      <c r="K45" s="180">
        <f>IF(E45=0,0,'Цены Жалюзи'!$R$72)</f>
        <v>0</v>
      </c>
      <c r="L45" s="180">
        <f>IF(G45=0,0,'Цены Жалюзи'!$R$72)</f>
        <v>0</v>
      </c>
      <c r="M45" s="180">
        <f>IF(I45=0,0,'Цены Жалюзи'!$R$72)</f>
        <v>0</v>
      </c>
      <c r="O45" s="9"/>
    </row>
    <row r="46" spans="1:15" ht="16.5" customHeight="1">
      <c r="A46" s="67" t="s">
        <v>42</v>
      </c>
      <c r="B46" s="84"/>
      <c r="C46" s="79">
        <f>IF($B$12=$A46,1,0)</f>
        <v>0</v>
      </c>
      <c r="D46" s="85"/>
      <c r="E46" s="79">
        <f>IF($D$12=$A46,1,0)</f>
        <v>0</v>
      </c>
      <c r="F46" s="85"/>
      <c r="G46" s="79">
        <f>IF($F$12=$A46,1,0)</f>
        <v>0</v>
      </c>
      <c r="H46" s="85"/>
      <c r="I46" s="81">
        <f>IF($H$12=$A46,1,0)</f>
        <v>0</v>
      </c>
      <c r="J46" s="180">
        <f>IF(C46=0,0,'Цены Жалюзи'!$R$73)</f>
        <v>0</v>
      </c>
      <c r="K46" s="180">
        <f>IF(E46=0,0,'Цены Жалюзи'!$R$73)</f>
        <v>0</v>
      </c>
      <c r="L46" s="180">
        <f>IF(G46=0,0,'Цены Жалюзи'!$R$73)</f>
        <v>0</v>
      </c>
      <c r="M46" s="180">
        <f>IF(I46=0,0,'Цены Жалюзи'!$R$73)</f>
        <v>0</v>
      </c>
      <c r="O46" s="9"/>
    </row>
    <row r="47" spans="1:15" ht="16.5" customHeight="1">
      <c r="A47" s="67" t="s">
        <v>320</v>
      </c>
      <c r="B47" s="84"/>
      <c r="C47" s="79">
        <f>IF($B$12=$A47,1,0)</f>
        <v>0</v>
      </c>
      <c r="D47" s="85"/>
      <c r="E47" s="79">
        <f>IF($D$12=$A47,1,0)</f>
        <v>0</v>
      </c>
      <c r="F47" s="85"/>
      <c r="G47" s="79">
        <f>IF($F$12=$A47,1,0)</f>
        <v>0</v>
      </c>
      <c r="H47" s="85"/>
      <c r="I47" s="81">
        <f>IF($H$12=$A47,1,0)</f>
        <v>0</v>
      </c>
      <c r="J47" s="180">
        <f>IF(C47=0,0,'Цены Жалюзи'!$R$74)</f>
        <v>0</v>
      </c>
      <c r="K47" s="180">
        <f>IF(E47=0,0,'Цены Жалюзи'!$R$74)</f>
        <v>0</v>
      </c>
      <c r="L47" s="180">
        <f>IF(G47=0,0,'Цены Жалюзи'!$R$74)</f>
        <v>0</v>
      </c>
      <c r="M47" s="180">
        <f>IF(I47=0,0,'Цены Жалюзи'!$R$74)</f>
        <v>0</v>
      </c>
      <c r="O47" s="9"/>
    </row>
    <row r="48" spans="1:15" ht="16.5" customHeight="1">
      <c r="A48" s="67" t="s">
        <v>321</v>
      </c>
      <c r="B48" s="84"/>
      <c r="C48" s="79">
        <f>IF($B$12=$A48,1,0)</f>
        <v>0</v>
      </c>
      <c r="D48" s="85"/>
      <c r="E48" s="79">
        <f>IF($D$12=$A48,1,0)</f>
        <v>0</v>
      </c>
      <c r="F48" s="85"/>
      <c r="G48" s="79">
        <f>IF($F$12=$A48,1,0)</f>
        <v>0</v>
      </c>
      <c r="H48" s="85"/>
      <c r="I48" s="81">
        <f>IF($H$12=$A48,1,0)</f>
        <v>0</v>
      </c>
      <c r="J48" s="180">
        <f>IF(C48=0,0,'Цены Жалюзи'!$R$75)</f>
        <v>0</v>
      </c>
      <c r="K48" s="180">
        <f>IF(E48=0,0,'Цены Жалюзи'!$R$75)</f>
        <v>0</v>
      </c>
      <c r="L48" s="180">
        <f>IF(G48=0,0,'Цены Жалюзи'!$R$75)</f>
        <v>0</v>
      </c>
      <c r="M48" s="180">
        <f>IF(I48=0,0,'Цены Жалюзи'!$R$75)</f>
        <v>0</v>
      </c>
      <c r="O48" s="9"/>
    </row>
    <row r="49" spans="1:15" ht="16.5" customHeight="1">
      <c r="A49" s="101" t="s">
        <v>43</v>
      </c>
      <c r="B49" s="106"/>
      <c r="C49" s="107"/>
      <c r="D49" s="108"/>
      <c r="E49" s="107"/>
      <c r="F49" s="110"/>
      <c r="G49" s="107"/>
      <c r="H49" s="110"/>
      <c r="I49" s="106"/>
      <c r="J49" s="181"/>
      <c r="K49" s="181"/>
      <c r="L49" s="181"/>
      <c r="M49" s="181"/>
      <c r="O49" s="9"/>
    </row>
    <row r="50" spans="1:15" ht="16.5" customHeight="1">
      <c r="A50" s="67" t="s">
        <v>45</v>
      </c>
      <c r="B50" s="84"/>
      <c r="C50" s="79">
        <f>IF(B$13=$A50,1,0)</f>
        <v>0</v>
      </c>
      <c r="D50" s="85"/>
      <c r="E50" s="79">
        <f aca="true" t="shared" si="0" ref="E50:E66">IF(D$13=$A50,1,0)</f>
        <v>0</v>
      </c>
      <c r="F50" s="85"/>
      <c r="G50" s="79">
        <f aca="true" t="shared" si="1" ref="G50:G66">IF(F$13=$A50,1,0)</f>
        <v>0</v>
      </c>
      <c r="H50" s="85"/>
      <c r="I50" s="81">
        <f aca="true" t="shared" si="2" ref="I50:I66">IF(H$13=$A50,1,0)</f>
        <v>0</v>
      </c>
      <c r="J50" s="180">
        <f>IF(C50=0,0,'Цены Жалюзи'!$R$76)</f>
        <v>0</v>
      </c>
      <c r="K50" s="180">
        <f>IF(E50=0,0,'Цены Жалюзи'!$R$76)</f>
        <v>0</v>
      </c>
      <c r="L50" s="180">
        <f>IF(G50=0,0,'Цены Жалюзи'!$R$76)</f>
        <v>0</v>
      </c>
      <c r="M50" s="180">
        <f>IF(I50=0,0,'Цены Жалюзи'!$R$76)</f>
        <v>0</v>
      </c>
      <c r="O50" s="9"/>
    </row>
    <row r="51" spans="1:15" ht="16.5" customHeight="1">
      <c r="A51" s="67" t="s">
        <v>322</v>
      </c>
      <c r="B51" s="84"/>
      <c r="C51" s="79">
        <f aca="true" t="shared" si="3" ref="C51:C66">IF(B$13=$A51,1,0)</f>
        <v>0</v>
      </c>
      <c r="D51" s="85"/>
      <c r="E51" s="79">
        <f t="shared" si="0"/>
        <v>0</v>
      </c>
      <c r="F51" s="85"/>
      <c r="G51" s="79">
        <f t="shared" si="1"/>
        <v>0</v>
      </c>
      <c r="H51" s="85"/>
      <c r="I51" s="81">
        <f t="shared" si="2"/>
        <v>0</v>
      </c>
      <c r="J51" s="180">
        <f>IF(C51=0,0,'Цены Жалюзи'!$R$77)</f>
        <v>0</v>
      </c>
      <c r="K51" s="180">
        <f>IF(E51=0,0,'Цены Жалюзи'!$R$77)</f>
        <v>0</v>
      </c>
      <c r="L51" s="180">
        <f>IF(G51=0,0,'Цены Жалюзи'!$R$77)</f>
        <v>0</v>
      </c>
      <c r="M51" s="180">
        <f>IF(I51=0,0,'Цены Жалюзи'!$R$77)</f>
        <v>0</v>
      </c>
      <c r="O51" s="9"/>
    </row>
    <row r="52" spans="1:15" ht="16.5" customHeight="1">
      <c r="A52" s="67" t="s">
        <v>46</v>
      </c>
      <c r="B52" s="84"/>
      <c r="C52" s="79">
        <f t="shared" si="3"/>
        <v>0</v>
      </c>
      <c r="D52" s="85"/>
      <c r="E52" s="79">
        <f t="shared" si="0"/>
        <v>0</v>
      </c>
      <c r="F52" s="85"/>
      <c r="G52" s="79">
        <f t="shared" si="1"/>
        <v>0</v>
      </c>
      <c r="H52" s="85"/>
      <c r="I52" s="81">
        <f t="shared" si="2"/>
        <v>0</v>
      </c>
      <c r="J52" s="180">
        <f>IF(C52=0,0,'Цены Жалюзи'!$R$78)</f>
        <v>0</v>
      </c>
      <c r="K52" s="180">
        <f>IF(E52=0,0,'Цены Жалюзи'!$R$78)</f>
        <v>0</v>
      </c>
      <c r="L52" s="180">
        <f>IF(G52=0,0,'Цены Жалюзи'!$R$78)</f>
        <v>0</v>
      </c>
      <c r="M52" s="180">
        <f>IF(I52=0,0,'Цены Жалюзи'!$R$78)</f>
        <v>0</v>
      </c>
      <c r="O52" s="9"/>
    </row>
    <row r="53" spans="1:15" ht="16.5" customHeight="1">
      <c r="A53" s="67" t="s">
        <v>323</v>
      </c>
      <c r="B53" s="84"/>
      <c r="C53" s="79">
        <f t="shared" si="3"/>
        <v>0</v>
      </c>
      <c r="D53" s="85"/>
      <c r="E53" s="79">
        <f t="shared" si="0"/>
        <v>0</v>
      </c>
      <c r="F53" s="85"/>
      <c r="G53" s="79">
        <f t="shared" si="1"/>
        <v>0</v>
      </c>
      <c r="H53" s="85"/>
      <c r="I53" s="81">
        <f t="shared" si="2"/>
        <v>0</v>
      </c>
      <c r="J53" s="180">
        <f>IF(C53=0,0,'Цены Жалюзи'!$R$79)</f>
        <v>0</v>
      </c>
      <c r="K53" s="180">
        <f>IF(E53=0,0,'Цены Жалюзи'!$R$79)</f>
        <v>0</v>
      </c>
      <c r="L53" s="180">
        <f>IF(G53=0,0,'Цены Жалюзи'!$R$79)</f>
        <v>0</v>
      </c>
      <c r="M53" s="180">
        <f>IF(I53=0,0,'Цены Жалюзи'!$R$79)</f>
        <v>0</v>
      </c>
      <c r="O53" s="9"/>
    </row>
    <row r="54" spans="1:15" ht="16.5" customHeight="1">
      <c r="A54" s="67" t="s">
        <v>47</v>
      </c>
      <c r="B54" s="84"/>
      <c r="C54" s="79">
        <f t="shared" si="3"/>
        <v>0</v>
      </c>
      <c r="D54" s="85"/>
      <c r="E54" s="79">
        <f t="shared" si="0"/>
        <v>0</v>
      </c>
      <c r="F54" s="85"/>
      <c r="G54" s="79">
        <f t="shared" si="1"/>
        <v>0</v>
      </c>
      <c r="H54" s="85"/>
      <c r="I54" s="81">
        <f t="shared" si="2"/>
        <v>0</v>
      </c>
      <c r="J54" s="180">
        <f>IF(C54=0,0,'Цены Жалюзи'!$R$80)</f>
        <v>0</v>
      </c>
      <c r="K54" s="180">
        <f>IF(E54=0,0,'Цены Жалюзи'!$R$80)</f>
        <v>0</v>
      </c>
      <c r="L54" s="180">
        <f>IF(G54=0,0,'Цены Жалюзи'!$R$80)</f>
        <v>0</v>
      </c>
      <c r="M54" s="180">
        <f>IF(I54=0,0,'Цены Жалюзи'!$R$80)</f>
        <v>0</v>
      </c>
      <c r="O54" s="9"/>
    </row>
    <row r="55" spans="1:15" ht="16.5" customHeight="1">
      <c r="A55" s="67" t="s">
        <v>49</v>
      </c>
      <c r="B55" s="84"/>
      <c r="C55" s="79">
        <f>IF(B$13=$A55,1,0)</f>
        <v>0</v>
      </c>
      <c r="D55" s="85"/>
      <c r="E55" s="79">
        <f t="shared" si="0"/>
        <v>0</v>
      </c>
      <c r="F55" s="85"/>
      <c r="G55" s="79">
        <f t="shared" si="1"/>
        <v>0</v>
      </c>
      <c r="H55" s="85"/>
      <c r="I55" s="81">
        <f t="shared" si="2"/>
        <v>0</v>
      </c>
      <c r="J55" s="180">
        <f>IF(C55=0,0,'Цены Жалюзи'!$R$81)</f>
        <v>0</v>
      </c>
      <c r="K55" s="180">
        <f>IF(E55=0,0,'Цены Жалюзи'!$R$81)</f>
        <v>0</v>
      </c>
      <c r="L55" s="180">
        <f>IF(G55=0,0,'Цены Жалюзи'!$R$81)</f>
        <v>0</v>
      </c>
      <c r="M55" s="180">
        <f>IF(I55=0,0,'Цены Жалюзи'!$R$81)</f>
        <v>0</v>
      </c>
      <c r="O55" s="9"/>
    </row>
    <row r="56" spans="1:15" ht="16.5" customHeight="1">
      <c r="A56" s="67" t="s">
        <v>51</v>
      </c>
      <c r="B56" s="84"/>
      <c r="C56" s="79">
        <f t="shared" si="3"/>
        <v>0</v>
      </c>
      <c r="D56" s="85"/>
      <c r="E56" s="79">
        <f t="shared" si="0"/>
        <v>0</v>
      </c>
      <c r="F56" s="85"/>
      <c r="G56" s="79">
        <f t="shared" si="1"/>
        <v>0</v>
      </c>
      <c r="H56" s="85"/>
      <c r="I56" s="81">
        <f t="shared" si="2"/>
        <v>0</v>
      </c>
      <c r="J56" s="180">
        <f>IF(C56=0,0,'Цены Жалюзи'!$R$82)</f>
        <v>0</v>
      </c>
      <c r="K56" s="180">
        <f>IF(E56=0,0,'Цены Жалюзи'!$R$82)</f>
        <v>0</v>
      </c>
      <c r="L56" s="180">
        <f>IF(G56=0,0,'Цены Жалюзи'!$R$82)</f>
        <v>0</v>
      </c>
      <c r="M56" s="180">
        <f>IF(I56=0,0,'Цены Жалюзи'!$R$82)</f>
        <v>0</v>
      </c>
      <c r="O56" s="9"/>
    </row>
    <row r="57" spans="1:15" ht="16.5" customHeight="1">
      <c r="A57" s="67" t="s">
        <v>53</v>
      </c>
      <c r="B57" s="84"/>
      <c r="C57" s="79">
        <f t="shared" si="3"/>
        <v>0</v>
      </c>
      <c r="D57" s="85"/>
      <c r="E57" s="79">
        <f t="shared" si="0"/>
        <v>0</v>
      </c>
      <c r="F57" s="85"/>
      <c r="G57" s="79">
        <f t="shared" si="1"/>
        <v>0</v>
      </c>
      <c r="H57" s="85"/>
      <c r="I57" s="81">
        <f t="shared" si="2"/>
        <v>0</v>
      </c>
      <c r="J57" s="180">
        <f>IF(C57=0,0,'Цены Жалюзи'!$R$83)</f>
        <v>0</v>
      </c>
      <c r="K57" s="180">
        <f>IF(E57=0,0,'Цены Жалюзи'!$R$83)</f>
        <v>0</v>
      </c>
      <c r="L57" s="180">
        <f>IF(G57=0,0,'Цены Жалюзи'!$R$83)</f>
        <v>0</v>
      </c>
      <c r="M57" s="180">
        <f>IF(I57=0,0,'Цены Жалюзи'!$R$83)</f>
        <v>0</v>
      </c>
      <c r="O57" s="9"/>
    </row>
    <row r="58" spans="1:15" ht="15.75" customHeight="1">
      <c r="A58" s="67" t="s">
        <v>55</v>
      </c>
      <c r="B58" s="84"/>
      <c r="C58" s="79">
        <f t="shared" si="3"/>
        <v>0</v>
      </c>
      <c r="D58" s="85"/>
      <c r="E58" s="79">
        <f t="shared" si="0"/>
        <v>0</v>
      </c>
      <c r="F58" s="85"/>
      <c r="G58" s="79">
        <f t="shared" si="1"/>
        <v>0</v>
      </c>
      <c r="H58" s="85"/>
      <c r="I58" s="81">
        <f t="shared" si="2"/>
        <v>0</v>
      </c>
      <c r="J58" s="180">
        <f>IF(C58=0,0,'Цены Жалюзи'!$R$84)</f>
        <v>0</v>
      </c>
      <c r="K58" s="180">
        <f>IF(E58=0,0,'Цены Жалюзи'!$R$84)</f>
        <v>0</v>
      </c>
      <c r="L58" s="180">
        <f>IF(G58=0,0,'Цены Жалюзи'!$R$84)</f>
        <v>0</v>
      </c>
      <c r="M58" s="180">
        <f>IF(I58=0,0,'Цены Жалюзи'!$R$84)</f>
        <v>0</v>
      </c>
      <c r="O58" s="10"/>
    </row>
    <row r="59" spans="1:15" ht="15.75" customHeight="1">
      <c r="A59" s="67" t="s">
        <v>58</v>
      </c>
      <c r="B59" s="84"/>
      <c r="C59" s="79">
        <f t="shared" si="3"/>
        <v>0</v>
      </c>
      <c r="D59" s="85"/>
      <c r="E59" s="79">
        <f t="shared" si="0"/>
        <v>0</v>
      </c>
      <c r="F59" s="85"/>
      <c r="G59" s="79">
        <f t="shared" si="1"/>
        <v>0</v>
      </c>
      <c r="H59" s="85"/>
      <c r="I59" s="81">
        <f t="shared" si="2"/>
        <v>0</v>
      </c>
      <c r="J59" s="180">
        <f>IF(C59=0,0,'Цены Жалюзи'!$R$85)</f>
        <v>0</v>
      </c>
      <c r="K59" s="180">
        <f>IF(E59=0,0,'Цены Жалюзи'!$R$85)</f>
        <v>0</v>
      </c>
      <c r="L59" s="180">
        <f>IF(G59=0,0,'Цены Жалюзи'!$R$85)</f>
        <v>0</v>
      </c>
      <c r="M59" s="180">
        <f>IF(I59=0,0,'Цены Жалюзи'!$R$85)</f>
        <v>0</v>
      </c>
      <c r="O59" s="11"/>
    </row>
    <row r="60" spans="1:15" ht="15.75" customHeight="1">
      <c r="A60" s="67" t="s">
        <v>324</v>
      </c>
      <c r="B60" s="84"/>
      <c r="C60" s="79">
        <f t="shared" si="3"/>
        <v>0</v>
      </c>
      <c r="D60" s="85"/>
      <c r="E60" s="79">
        <f t="shared" si="0"/>
        <v>0</v>
      </c>
      <c r="F60" s="85"/>
      <c r="G60" s="79">
        <f t="shared" si="1"/>
        <v>0</v>
      </c>
      <c r="H60" s="85"/>
      <c r="I60" s="81">
        <f t="shared" si="2"/>
        <v>0</v>
      </c>
      <c r="J60" s="180">
        <f>IF(C60=0,0,'Цены Жалюзи'!$R$86)</f>
        <v>0</v>
      </c>
      <c r="K60" s="180">
        <f>IF(E60=0,0,'Цены Жалюзи'!$R$86)</f>
        <v>0</v>
      </c>
      <c r="L60" s="180">
        <f>IF(G60=0,0,'Цены Жалюзи'!$R$86)</f>
        <v>0</v>
      </c>
      <c r="M60" s="180">
        <f>IF(I60=0,0,'Цены Жалюзи'!$R$86)</f>
        <v>0</v>
      </c>
      <c r="O60" s="11"/>
    </row>
    <row r="61" spans="1:15" ht="15.75" customHeight="1">
      <c r="A61" s="67" t="s">
        <v>60</v>
      </c>
      <c r="B61" s="84"/>
      <c r="C61" s="79">
        <f t="shared" si="3"/>
        <v>0</v>
      </c>
      <c r="D61" s="85"/>
      <c r="E61" s="79">
        <f t="shared" si="0"/>
        <v>0</v>
      </c>
      <c r="F61" s="85"/>
      <c r="G61" s="79">
        <f t="shared" si="1"/>
        <v>0</v>
      </c>
      <c r="H61" s="85"/>
      <c r="I61" s="81">
        <f t="shared" si="2"/>
        <v>0</v>
      </c>
      <c r="J61" s="180">
        <f>IF(C61=0,0,'Цены Жалюзи'!$R$87)</f>
        <v>0</v>
      </c>
      <c r="K61" s="180">
        <f>IF(E61=0,0,'Цены Жалюзи'!$R$87)</f>
        <v>0</v>
      </c>
      <c r="L61" s="180">
        <f>IF(G61=0,0,'Цены Жалюзи'!$R$87)</f>
        <v>0</v>
      </c>
      <c r="M61" s="180">
        <f>IF(I61=0,0,'Цены Жалюзи'!$R$87)</f>
        <v>0</v>
      </c>
      <c r="O61" s="13"/>
    </row>
    <row r="62" spans="1:15" ht="15.75" customHeight="1">
      <c r="A62" s="67" t="s">
        <v>63</v>
      </c>
      <c r="B62" s="84"/>
      <c r="C62" s="79">
        <f t="shared" si="3"/>
        <v>0</v>
      </c>
      <c r="D62" s="85"/>
      <c r="E62" s="79">
        <f t="shared" si="0"/>
        <v>0</v>
      </c>
      <c r="F62" s="85"/>
      <c r="G62" s="79">
        <f t="shared" si="1"/>
        <v>0</v>
      </c>
      <c r="H62" s="85"/>
      <c r="I62" s="81">
        <f t="shared" si="2"/>
        <v>0</v>
      </c>
      <c r="J62" s="180">
        <f>IF(C62=0,0,'Цены Жалюзи'!$R$88)</f>
        <v>0</v>
      </c>
      <c r="K62" s="180">
        <f>IF(E62=0,0,'Цены Жалюзи'!$R$88)</f>
        <v>0</v>
      </c>
      <c r="L62" s="180">
        <f>IF(G62=0,0,'Цены Жалюзи'!$R$88)</f>
        <v>0</v>
      </c>
      <c r="M62" s="180">
        <f>IF(I62=0,0,'Цены Жалюзи'!$R$88)</f>
        <v>0</v>
      </c>
      <c r="O62" s="13"/>
    </row>
    <row r="63" spans="1:15" ht="15.75" customHeight="1">
      <c r="A63" s="67" t="s">
        <v>64</v>
      </c>
      <c r="B63" s="84"/>
      <c r="C63" s="79">
        <f t="shared" si="3"/>
        <v>0</v>
      </c>
      <c r="D63" s="86"/>
      <c r="E63" s="79">
        <f t="shared" si="0"/>
        <v>0</v>
      </c>
      <c r="F63" s="85"/>
      <c r="G63" s="79">
        <f t="shared" si="1"/>
        <v>0</v>
      </c>
      <c r="H63" s="85"/>
      <c r="I63" s="81">
        <f t="shared" si="2"/>
        <v>0</v>
      </c>
      <c r="J63" s="180">
        <f>IF(C63=0,0,'Цены Жалюзи'!$R$89)</f>
        <v>0</v>
      </c>
      <c r="K63" s="180">
        <f>IF(E63=0,0,'Цены Жалюзи'!$R$89)</f>
        <v>0</v>
      </c>
      <c r="L63" s="180">
        <f>IF(G63=0,0,'Цены Жалюзи'!$R$89)</f>
        <v>0</v>
      </c>
      <c r="M63" s="180">
        <f>IF(I63=0,0,'Цены Жалюзи'!$R$89)</f>
        <v>0</v>
      </c>
      <c r="O63" s="13"/>
    </row>
    <row r="64" spans="1:15" ht="15.75" customHeight="1">
      <c r="A64" s="53" t="s">
        <v>70</v>
      </c>
      <c r="B64" s="87"/>
      <c r="C64" s="79">
        <f t="shared" si="3"/>
        <v>0</v>
      </c>
      <c r="D64" s="86"/>
      <c r="E64" s="79">
        <f t="shared" si="0"/>
        <v>0</v>
      </c>
      <c r="F64" s="86"/>
      <c r="G64" s="79">
        <f t="shared" si="1"/>
        <v>0</v>
      </c>
      <c r="H64" s="86"/>
      <c r="I64" s="81">
        <f t="shared" si="2"/>
        <v>0</v>
      </c>
      <c r="J64" s="180">
        <f>IF(C64=0,0,'Цены Жалюзи'!$R$90)</f>
        <v>0</v>
      </c>
      <c r="K64" s="180">
        <f>IF(E64=0,0,'Цены Жалюзи'!$R$90)</f>
        <v>0</v>
      </c>
      <c r="L64" s="180">
        <f>IF(G64=0,0,'Цены Жалюзи'!$R$90)</f>
        <v>0</v>
      </c>
      <c r="M64" s="180">
        <f>IF(I64=0,0,'Цены Жалюзи'!$R$90)</f>
        <v>0</v>
      </c>
      <c r="O64" s="13"/>
    </row>
    <row r="65" spans="1:15" ht="15.75" customHeight="1">
      <c r="A65" s="53" t="s">
        <v>77</v>
      </c>
      <c r="B65" s="87"/>
      <c r="C65" s="79">
        <f t="shared" si="3"/>
        <v>0</v>
      </c>
      <c r="D65" s="86"/>
      <c r="E65" s="79">
        <f t="shared" si="0"/>
        <v>0</v>
      </c>
      <c r="F65" s="86"/>
      <c r="G65" s="79">
        <f t="shared" si="1"/>
        <v>0</v>
      </c>
      <c r="H65" s="86"/>
      <c r="I65" s="81">
        <f t="shared" si="2"/>
        <v>0</v>
      </c>
      <c r="J65" s="180">
        <f>IF(C65=0,0,'Цены Жалюзи'!$R$91)</f>
        <v>0</v>
      </c>
      <c r="K65" s="180">
        <f>IF(E65=0,0,'Цены Жалюзи'!$R$91)</f>
        <v>0</v>
      </c>
      <c r="L65" s="180">
        <f>IF(G65=0,0,'Цены Жалюзи'!$R$91)</f>
        <v>0</v>
      </c>
      <c r="M65" s="180">
        <f>IF(I65=0,0,'Цены Жалюзи'!$R$91)</f>
        <v>0</v>
      </c>
      <c r="O65" s="13"/>
    </row>
    <row r="66" spans="1:15" ht="15.75" customHeight="1">
      <c r="A66" s="67" t="s">
        <v>79</v>
      </c>
      <c r="B66" s="87"/>
      <c r="C66" s="79">
        <f t="shared" si="3"/>
        <v>0</v>
      </c>
      <c r="D66" s="86"/>
      <c r="E66" s="79">
        <f t="shared" si="0"/>
        <v>0</v>
      </c>
      <c r="F66" s="86"/>
      <c r="G66" s="79">
        <f t="shared" si="1"/>
        <v>0</v>
      </c>
      <c r="H66" s="86"/>
      <c r="I66" s="81">
        <f t="shared" si="2"/>
        <v>0</v>
      </c>
      <c r="J66" s="180">
        <f>IF(C66=0,0,'Цены Жалюзи'!$R$92)</f>
        <v>0</v>
      </c>
      <c r="K66" s="180">
        <f>IF(E66=0,0,'Цены Жалюзи'!$R$92)</f>
        <v>0</v>
      </c>
      <c r="L66" s="180">
        <f>IF(G66=0,0,'Цены Жалюзи'!$R$92)</f>
        <v>0</v>
      </c>
      <c r="M66" s="180">
        <f>IF(I66=0,0,'Цены Жалюзи'!$R$92)</f>
        <v>0</v>
      </c>
      <c r="O66" s="13"/>
    </row>
    <row r="67" spans="1:15" ht="16.5" customHeight="1">
      <c r="A67" s="101" t="s">
        <v>82</v>
      </c>
      <c r="B67" s="106"/>
      <c r="C67" s="107"/>
      <c r="D67" s="111"/>
      <c r="E67" s="112"/>
      <c r="F67" s="110"/>
      <c r="G67" s="107"/>
      <c r="H67" s="110"/>
      <c r="I67" s="106"/>
      <c r="J67" s="181"/>
      <c r="K67" s="181"/>
      <c r="L67" s="181"/>
      <c r="M67" s="181"/>
      <c r="O67" s="13"/>
    </row>
    <row r="68" spans="1:15" ht="16.5" customHeight="1">
      <c r="A68" s="67" t="s">
        <v>233</v>
      </c>
      <c r="B68" s="78" t="str">
        <f>VLOOKUP(B12,Данные!$A$35:$M$40,4,FALSE)</f>
        <v>-</v>
      </c>
      <c r="C68" s="79">
        <f>VLOOKUP(B12,Данные!$A$35:$M$40,2,FALSE)</f>
        <v>0</v>
      </c>
      <c r="D68" s="80" t="str">
        <f>VLOOKUP(D12,Данные!$A$35:$M$40,4,FALSE)</f>
        <v>-</v>
      </c>
      <c r="E68" s="79">
        <f>VLOOKUP(D12,Данные!$A$35:$M$40,2,FALSE)</f>
        <v>0</v>
      </c>
      <c r="F68" s="80" t="str">
        <f>VLOOKUP(F12,Данные!$A$35:$M$40,4,FALSE)</f>
        <v>-</v>
      </c>
      <c r="G68" s="79">
        <f>VLOOKUP(F12,Данные!$A$35:$M$40,2,FALSE)</f>
        <v>0</v>
      </c>
      <c r="H68" s="80" t="str">
        <f>VLOOKUP(H12,Данные!$A$35:$M$40,4,FALSE)</f>
        <v>-</v>
      </c>
      <c r="I68" s="81">
        <f>VLOOKUP(H12,Данные!$A$35:$M$40,2,FALSE)</f>
        <v>0</v>
      </c>
      <c r="J68" s="180">
        <f>IF(C68=0,0,VLOOKUP($A$19,'Цены Жалюзи'!$B$37:$R$61,2,FALSE)*B68*C68)</f>
        <v>0</v>
      </c>
      <c r="K68" s="180">
        <f>IF(E68=0,0,VLOOKUP($A$19,'Цены Жалюзи'!$B$37:$R$61,2,FALSE)*D68*E68)</f>
        <v>0</v>
      </c>
      <c r="L68" s="180">
        <f>IF(G68=0,0,VLOOKUP($A$19,'Цены Жалюзи'!$B$37:$R$61,2,FALSE)*F68*G68)</f>
        <v>0</v>
      </c>
      <c r="M68" s="180">
        <f>IF(I68=0,0,VLOOKUP($A$19,'Цены Жалюзи'!$B$37:$R$61,2,FALSE)*H68*I68)</f>
        <v>0</v>
      </c>
      <c r="O68" s="13"/>
    </row>
    <row r="69" spans="1:15" ht="16.5" customHeight="1">
      <c r="A69" s="67" t="s">
        <v>126</v>
      </c>
      <c r="B69" s="78" t="str">
        <f>VLOOKUP(B12,Данные!$A$35:$M$40,6,FALSE)</f>
        <v>-</v>
      </c>
      <c r="C69" s="88">
        <f>VLOOKUP(B12,Данные!$A$35:$M$40,5,FALSE)</f>
        <v>0</v>
      </c>
      <c r="D69" s="80" t="str">
        <f>VLOOKUP(D12,Данные!$A$35:$M$40,6,FALSE)</f>
        <v>-</v>
      </c>
      <c r="E69" s="88">
        <f>VLOOKUP(D12,Данные!$A$35:$M$40,5,FALSE)</f>
        <v>0</v>
      </c>
      <c r="F69" s="80" t="str">
        <f>VLOOKUP(F12,Данные!$A$35:$M$40,6,FALSE)</f>
        <v>-</v>
      </c>
      <c r="G69" s="88">
        <f>VLOOKUP(F12,Данные!$A$35:$M$40,5,FALSE)</f>
        <v>0</v>
      </c>
      <c r="H69" s="80" t="str">
        <f>VLOOKUP(H12,Данные!$A$35:$M$40,6,FALSE)</f>
        <v>-</v>
      </c>
      <c r="I69" s="78">
        <f>VLOOKUP(H12,Данные!$A$35:$M$40,5,FALSE)</f>
        <v>0</v>
      </c>
      <c r="J69" s="180">
        <f>IF(C69=0,0,VLOOKUP($A$19,'Цены Жалюзи'!$B$37:$R$61,13,FALSE)*B69*C69)</f>
        <v>0</v>
      </c>
      <c r="K69" s="180">
        <f>IF(E69=0,0,VLOOKUP($A$19,'Цены Жалюзи'!$B$37:$R$61,13,FALSE)*D69*E69)</f>
        <v>0</v>
      </c>
      <c r="L69" s="180">
        <f>IF(G69=0,0,VLOOKUP($A$19,'Цены Жалюзи'!$B$37:$R$61,13,FALSE)*F69*G69)</f>
        <v>0</v>
      </c>
      <c r="M69" s="180">
        <f>IF(I69=0,0,VLOOKUP($A$19,'Цены Жалюзи'!$B$37:$R$61,13,FALSE)*H69*I69)</f>
        <v>0</v>
      </c>
      <c r="O69" s="13"/>
    </row>
    <row r="70" spans="1:15" ht="16.5" customHeight="1">
      <c r="A70" s="67" t="s">
        <v>262</v>
      </c>
      <c r="B70" s="78" t="str">
        <f>VLOOKUP(B12,Данные!$A$35:$M$40,8,FALSE)</f>
        <v>-</v>
      </c>
      <c r="C70" s="88">
        <f>VLOOKUP(B12,Данные!$A$35:$M$40,7,FALSE)</f>
        <v>0</v>
      </c>
      <c r="D70" s="80" t="str">
        <f>VLOOKUP(D12,Данные!$A$35:$M$40,8,FALSE)</f>
        <v>-</v>
      </c>
      <c r="E70" s="88">
        <f>VLOOKUP(D12,Данные!$A$35:$M$40,7,FALSE)</f>
        <v>0</v>
      </c>
      <c r="F70" s="80" t="str">
        <f>VLOOKUP(F12,Данные!$A$35:$M$40,8,FALSE)</f>
        <v>-</v>
      </c>
      <c r="G70" s="88">
        <f>VLOOKUP(F12,Данные!$A$35:$M$40,7,FALSE)</f>
        <v>0</v>
      </c>
      <c r="H70" s="80" t="str">
        <f>VLOOKUP(H12,Данные!$A$35:$M$40,8,FALSE)</f>
        <v>-</v>
      </c>
      <c r="I70" s="78">
        <f>VLOOKUP(H12,Данные!$A$35:$M$40,7,FALSE)</f>
        <v>0</v>
      </c>
      <c r="J70" s="180">
        <f>IF(C70=0,0,VLOOKUP($A$19,'Цены Жалюзи'!$B$37:$R$61,12,FALSE)*B70*C70)</f>
        <v>0</v>
      </c>
      <c r="K70" s="180">
        <f>IF(E70=0,0,VLOOKUP($A$19,'Цены Жалюзи'!$B$37:$R$61,12,FALSE)*D70*E70)</f>
        <v>0</v>
      </c>
      <c r="L70" s="180">
        <f>IF(G70=0,0,VLOOKUP($A$19,'Цены Жалюзи'!$B$37:$R$61,12,FALSE)*F70*G70)</f>
        <v>0</v>
      </c>
      <c r="M70" s="180">
        <f>IF(I70=0,0,VLOOKUP($A$19,'Цены Жалюзи'!$B$37:$R$61,12,FALSE)*H70*I70)</f>
        <v>0</v>
      </c>
      <c r="O70" s="13"/>
    </row>
    <row r="71" spans="1:15" ht="16.5" customHeight="1">
      <c r="A71" s="67" t="s">
        <v>34</v>
      </c>
      <c r="B71" s="78" t="str">
        <f>IF(C71=0,"-","5,5х19")</f>
        <v>-</v>
      </c>
      <c r="C71" s="79">
        <f>VLOOKUP(B12,Данные!$A$35:$M$40,12,FALSE)</f>
        <v>0</v>
      </c>
      <c r="D71" s="80" t="str">
        <f>IF(E71=0,"-","5,5х19")</f>
        <v>-</v>
      </c>
      <c r="E71" s="79">
        <f>VLOOKUP(D12,Данные!$A$35:$M$40,12,FALSE)</f>
        <v>0</v>
      </c>
      <c r="F71" s="80" t="str">
        <f>IF(G71=0,"-","5,5х19")</f>
        <v>-</v>
      </c>
      <c r="G71" s="79">
        <f>VLOOKUP(F12,Данные!$A$35:$M$40,12,FALSE)</f>
        <v>0</v>
      </c>
      <c r="H71" s="80" t="str">
        <f>IF(I71=0,"-","5,5х19")</f>
        <v>-</v>
      </c>
      <c r="I71" s="81">
        <f>VLOOKUP(H12,Данные!$A$35:$M$40,12,FALSE)</f>
        <v>0</v>
      </c>
      <c r="J71" s="180">
        <f>IF(C71=0,0,IF(OR($A$19="Цинк 0,5",$A$19="Цинк 0,55"),C71*'Цены Жалюзи'!$C$73,C71*'Цены Жалюзи'!$C$74))</f>
        <v>0</v>
      </c>
      <c r="K71" s="180">
        <f>IF(E71=0,0,IF(OR($A$19="Цинк 0,5",$A$19="Цинк 0,55"),E71*'Цены Жалюзи'!$C$73,E71*'Цены Жалюзи'!$C$74))</f>
        <v>0</v>
      </c>
      <c r="L71" s="180">
        <f>IF(G71=0,0,IF(OR($A$19="Цинк 0,5",$A$19="Цинк 0,55"),G71*'Цены Жалюзи'!$C$73,G71*'Цены Жалюзи'!$C$74))</f>
        <v>0</v>
      </c>
      <c r="M71" s="180">
        <f>IF(I71=0,0,IF(OR($A$19="Цинк 0,5",$A$19="Цинк 0,55"),I71*'Цены Жалюзи'!$C$73,I71*'Цены Жалюзи'!$C$74))</f>
        <v>0</v>
      </c>
      <c r="O71" s="13"/>
    </row>
    <row r="72" spans="1:15" ht="16.5" customHeight="1">
      <c r="A72" s="53" t="s">
        <v>94</v>
      </c>
      <c r="B72" s="78" t="s">
        <v>28</v>
      </c>
      <c r="C72" s="79">
        <f>VLOOKUP(B12,Данные!$A$35:$M$40,9,FALSE)</f>
        <v>0</v>
      </c>
      <c r="D72" s="80" t="s">
        <v>28</v>
      </c>
      <c r="E72" s="79">
        <f>VLOOKUP(D12,Данные!$A$35:$M$40,9,FALSE)</f>
        <v>0</v>
      </c>
      <c r="F72" s="80" t="s">
        <v>28</v>
      </c>
      <c r="G72" s="79">
        <f>VLOOKUP(F12,Данные!$A$35:$M$40,9,FALSE)</f>
        <v>0</v>
      </c>
      <c r="H72" s="80" t="s">
        <v>28</v>
      </c>
      <c r="I72" s="81">
        <f>VLOOKUP(H12,Данные!$A$35:$M$40,9,FALSE)</f>
        <v>0</v>
      </c>
      <c r="J72" s="180">
        <f>IF(C72=0,0,VLOOKUP($A$19,'Цены Жалюзи'!$B$37:$R$61,15,FALSE)*C72)</f>
        <v>0</v>
      </c>
      <c r="K72" s="180">
        <f>IF(E72=0,0,VLOOKUP($A$19,'Цены Жалюзи'!$B$37:$R$61,15,FALSE)*E72)</f>
        <v>0</v>
      </c>
      <c r="L72" s="180">
        <f>IF(G72=0,0,VLOOKUP($A$19,'Цены Жалюзи'!$B$37:$R$61,15,FALSE)*G72)</f>
        <v>0</v>
      </c>
      <c r="M72" s="180">
        <f>IF(I72=0,0,VLOOKUP($A$19,'Цены Жалюзи'!$B$37:$R$61,15,FALSE)*I72)</f>
        <v>0</v>
      </c>
      <c r="O72" s="13"/>
    </row>
    <row r="73" spans="1:15" ht="16.5" customHeight="1">
      <c r="A73" s="53" t="s">
        <v>97</v>
      </c>
      <c r="B73" s="78" t="s">
        <v>28</v>
      </c>
      <c r="C73" s="79">
        <f>VLOOKUP(B12,Данные!$A$35:$M$40,10,FALSE)</f>
        <v>0</v>
      </c>
      <c r="D73" s="80" t="s">
        <v>28</v>
      </c>
      <c r="E73" s="79">
        <f>VLOOKUP(D12,Данные!$A$35:$M$40,10,FALSE)</f>
        <v>0</v>
      </c>
      <c r="F73" s="80" t="s">
        <v>28</v>
      </c>
      <c r="G73" s="79">
        <f>VLOOKUP(F12,Данные!$A$35:$M$40,10,FALSE)</f>
        <v>0</v>
      </c>
      <c r="H73" s="80" t="s">
        <v>28</v>
      </c>
      <c r="I73" s="81">
        <f>VLOOKUP(H12,Данные!$A$35:$M$40,10,FALSE)</f>
        <v>0</v>
      </c>
      <c r="J73" s="180">
        <f>IF(C73=0,0,VLOOKUP($A$19,'Цены Жалюзи'!$B$37:$R$61,16,FALSE)*C73)</f>
        <v>0</v>
      </c>
      <c r="K73" s="180">
        <f>IF(E73=0,0,VLOOKUP($A$19,'Цены Жалюзи'!$B$37:$R$61,16,FALSE)*E73)</f>
        <v>0</v>
      </c>
      <c r="L73" s="180">
        <f>IF(G73=0,0,VLOOKUP($A$19,'Цены Жалюзи'!$B$37:$R$61,16,FALSE)*G73)</f>
        <v>0</v>
      </c>
      <c r="M73" s="180">
        <f>IF(I73=0,0,VLOOKUP($A$19,'Цены Жалюзи'!$B$37:$R$61,16,FALSE)*I73)</f>
        <v>0</v>
      </c>
      <c r="O73" s="13"/>
    </row>
    <row r="74" spans="1:15" ht="16.5" customHeight="1">
      <c r="A74" s="53" t="s">
        <v>343</v>
      </c>
      <c r="B74" s="78" t="s">
        <v>28</v>
      </c>
      <c r="C74" s="79">
        <f>VLOOKUP(B12,Данные!$A$35:$M$40,11,FALSE)</f>
        <v>0</v>
      </c>
      <c r="D74" s="80" t="s">
        <v>28</v>
      </c>
      <c r="E74" s="79">
        <f>VLOOKUP(D12,Данные!$A$35:$M$40,11,FALSE)</f>
        <v>0</v>
      </c>
      <c r="F74" s="80" t="s">
        <v>28</v>
      </c>
      <c r="G74" s="79">
        <f>VLOOKUP(F12,Данные!$A$35:$M$40,11,FALSE)</f>
        <v>0</v>
      </c>
      <c r="H74" s="80" t="s">
        <v>28</v>
      </c>
      <c r="I74" s="81">
        <f>VLOOKUP(H12,Данные!$A$35:$M$40,11,FALSE)</f>
        <v>0</v>
      </c>
      <c r="J74" s="180">
        <f>IF(C74=0,0,VLOOKUP($A$19,'Цены Жалюзи'!$B$37:$R$61,17,FALSE)*C74)</f>
        <v>0</v>
      </c>
      <c r="K74" s="180">
        <f>IF(E74=0,0,VLOOKUP($A$19,'Цены Жалюзи'!$B$37:$R$61,17,FALSE)*E74)</f>
        <v>0</v>
      </c>
      <c r="L74" s="180">
        <f>IF(G74=0,0,VLOOKUP($A$19,'Цены Жалюзи'!$B$37:$R$61,17,FALSE)*G74)</f>
        <v>0</v>
      </c>
      <c r="M74" s="180">
        <f>IF(I74=0,0,VLOOKUP($A$19,'Цены Жалюзи'!$B$37:$R$61,17,FALSE)*I74)</f>
        <v>0</v>
      </c>
      <c r="O74" s="13"/>
    </row>
    <row r="75" spans="1:15" ht="16.5" customHeight="1">
      <c r="A75" s="101" t="s">
        <v>99</v>
      </c>
      <c r="B75" s="106"/>
      <c r="C75" s="107"/>
      <c r="D75" s="110"/>
      <c r="E75" s="107"/>
      <c r="F75" s="110"/>
      <c r="G75" s="107"/>
      <c r="H75" s="110"/>
      <c r="I75" s="106"/>
      <c r="J75" s="181"/>
      <c r="K75" s="181"/>
      <c r="L75" s="181"/>
      <c r="M75" s="181"/>
      <c r="O75" s="13"/>
    </row>
    <row r="76" spans="1:15" ht="16.5" customHeight="1">
      <c r="A76" s="67" t="s">
        <v>233</v>
      </c>
      <c r="B76" s="78" t="str">
        <f>IF(C76=0,"-",VLOOKUP(B13,Данные!$A$42:$M$59,4,FALSE))</f>
        <v>-</v>
      </c>
      <c r="C76" s="79">
        <f>VLOOKUP(B13,Данные!$A$42:$M$59,2,FALSE)</f>
        <v>0</v>
      </c>
      <c r="D76" s="80" t="str">
        <f>IF(E76=0,"-",VLOOKUP(D13,Данные!$A$42:$M$59,4,FALSE))</f>
        <v>-</v>
      </c>
      <c r="E76" s="79">
        <f>VLOOKUP(D13,Данные!$A$42:$M$59,2,FALSE)</f>
        <v>0</v>
      </c>
      <c r="F76" s="80" t="str">
        <f>IF(G76=0,"-",VLOOKUP(F13,Данные!$A$42:$M$59,4,FALSE))</f>
        <v>-</v>
      </c>
      <c r="G76" s="79">
        <f>VLOOKUP(F13,Данные!$A$42:$M$59,2,FALSE)</f>
        <v>0</v>
      </c>
      <c r="H76" s="80" t="str">
        <f>IF(I76=0,"-",VLOOKUP(H13,Данные!$A$42:$M$59,4,FALSE))</f>
        <v>-</v>
      </c>
      <c r="I76" s="81">
        <f>VLOOKUP(H13,Данные!$A$42:$M$59,2,FALSE)</f>
        <v>0</v>
      </c>
      <c r="J76" s="180">
        <f>IF(C76=0,0,VLOOKUP($A$19,'Цены Жалюзи'!$B$37:$R$61,2,FALSE)*B76*C76)</f>
        <v>0</v>
      </c>
      <c r="K76" s="180">
        <f>IF(E76=0,0,VLOOKUP($A$19,'Цены Жалюзи'!$B$37:$R$61,2,FALSE)*D76*E76)</f>
        <v>0</v>
      </c>
      <c r="L76" s="180">
        <f>IF(G76=0,0,VLOOKUP($A$19,'Цены Жалюзи'!$B$37:$R$61,2,FALSE)*F76*G76)</f>
        <v>0</v>
      </c>
      <c r="M76" s="180">
        <f>IF(I76=0,0,VLOOKUP($A$19,'Цены Жалюзи'!$B$37:$R$61,2,FALSE)*H76*I76)</f>
        <v>0</v>
      </c>
      <c r="O76" s="13"/>
    </row>
    <row r="77" spans="1:34" ht="16.5" customHeight="1">
      <c r="A77" s="67" t="s">
        <v>126</v>
      </c>
      <c r="B77" s="78" t="str">
        <f>VLOOKUP(B13,Данные!$A$42:$M$59,6,FALSE)</f>
        <v>-</v>
      </c>
      <c r="C77" s="79">
        <f>VLOOKUP(B13,Данные!$A$42:$M$59,5,FALSE)</f>
        <v>0</v>
      </c>
      <c r="D77" s="80" t="str">
        <f>VLOOKUP(D13,Данные!$A$42:$M$59,6,FALSE)</f>
        <v>-</v>
      </c>
      <c r="E77" s="79">
        <f>VLOOKUP(D13,Данные!$A$42:$M$59,5,FALSE)</f>
        <v>0</v>
      </c>
      <c r="F77" s="80" t="str">
        <f>VLOOKUP(F13,Данные!$A$42:$M$59,6,FALSE)</f>
        <v>-</v>
      </c>
      <c r="G77" s="79">
        <f>VLOOKUP(F13,Данные!$A$42:$M$59,5,FALSE)</f>
        <v>0</v>
      </c>
      <c r="H77" s="80" t="str">
        <f>VLOOKUP(H13,Данные!$A$42:$M$59,6,FALSE)</f>
        <v>-</v>
      </c>
      <c r="I77" s="81">
        <f>VLOOKUP(H13,Данные!$A$42:$M$59,5,FALSE)</f>
        <v>0</v>
      </c>
      <c r="J77" s="180">
        <f>IF(C77=0,0,VLOOKUP($A$19,'Цены Жалюзи'!$B$37:$R$61,13,FALSE)*B77*C77)</f>
        <v>0</v>
      </c>
      <c r="K77" s="180">
        <f>IF(E77=0,0,VLOOKUP($A$19,'Цены Жалюзи'!$B$37:$R$61,13,FALSE)*D77*E77)</f>
        <v>0</v>
      </c>
      <c r="L77" s="180">
        <f>IF(G77=0,0,VLOOKUP($A$19,'Цены Жалюзи'!$B$37:$R$61,13,FALSE)*F77*G77)</f>
        <v>0</v>
      </c>
      <c r="M77" s="180">
        <f>IF(I77=0,0,VLOOKUP($A$19,'Цены Жалюзи'!$B$37:$R$61,13,FALSE)*H77*I77)</f>
        <v>0</v>
      </c>
      <c r="O77" s="13"/>
      <c r="V77" s="14"/>
      <c r="W77" s="6"/>
      <c r="X77" s="6"/>
      <c r="Y77" s="6"/>
      <c r="Z77" s="6"/>
      <c r="AA77" s="6"/>
      <c r="AB77" s="6"/>
      <c r="AC77" s="6"/>
      <c r="AD77" s="16"/>
      <c r="AE77" s="13"/>
      <c r="AF77" s="17"/>
      <c r="AG77" s="17"/>
      <c r="AH77" s="17"/>
    </row>
    <row r="78" spans="1:34" ht="16.5" customHeight="1">
      <c r="A78" s="67" t="s">
        <v>262</v>
      </c>
      <c r="B78" s="78" t="str">
        <f>VLOOKUP(B13,Данные!$A$42:$M$59,8,FALSE)</f>
        <v>-</v>
      </c>
      <c r="C78" s="79">
        <f>VLOOKUP(B13,Данные!$A$42:$M$59,7,FALSE)</f>
        <v>0</v>
      </c>
      <c r="D78" s="80" t="str">
        <f>VLOOKUP(D13,Данные!$A$42:$M$59,8,FALSE)</f>
        <v>-</v>
      </c>
      <c r="E78" s="79">
        <f>VLOOKUP(D13,Данные!$A$42:$M$59,7,FALSE)</f>
        <v>0</v>
      </c>
      <c r="F78" s="80" t="str">
        <f>VLOOKUP(F13,Данные!$A$42:$M$59,8,FALSE)</f>
        <v>-</v>
      </c>
      <c r="G78" s="79">
        <f>VLOOKUP(F13,Данные!$A$42:$M$59,7,FALSE)</f>
        <v>0</v>
      </c>
      <c r="H78" s="80" t="str">
        <f>VLOOKUP(H13,Данные!$A$42:$M$59,8,FALSE)</f>
        <v>-</v>
      </c>
      <c r="I78" s="81">
        <f>VLOOKUP(H13,Данные!$A$42:$M$59,7,FALSE)</f>
        <v>0</v>
      </c>
      <c r="J78" s="180">
        <f>IF(C78=0,0,VLOOKUP($A$19,'Цены Жалюзи'!$B$37:$R$61,12,FALSE)*B78*C78)</f>
        <v>0</v>
      </c>
      <c r="K78" s="180">
        <f>IF(E78=0,0,VLOOKUP($A$19,'Цены Жалюзи'!$B$37:$R$61,12,FALSE)*D78*E78)</f>
        <v>0</v>
      </c>
      <c r="L78" s="180">
        <f>IF(G78=0,0,VLOOKUP($A$19,'Цены Жалюзи'!$B$37:$R$61,12,FALSE)*F78*G78)</f>
        <v>0</v>
      </c>
      <c r="M78" s="180">
        <f>IF(I78=0,0,VLOOKUP($A$19,'Цены Жалюзи'!$B$37:$R$61,12,FALSE)*H78*I78)</f>
        <v>0</v>
      </c>
      <c r="O78" s="13"/>
      <c r="V78" s="14"/>
      <c r="W78" s="6"/>
      <c r="X78" s="6"/>
      <c r="Y78" s="6"/>
      <c r="Z78" s="6"/>
      <c r="AA78" s="6"/>
      <c r="AB78" s="6"/>
      <c r="AC78" s="6"/>
      <c r="AD78" s="16"/>
      <c r="AE78" s="13"/>
      <c r="AF78" s="17"/>
      <c r="AG78" s="17"/>
      <c r="AH78" s="17"/>
    </row>
    <row r="79" spans="1:37" ht="16.5" customHeight="1">
      <c r="A79" s="67" t="s">
        <v>34</v>
      </c>
      <c r="B79" s="78" t="str">
        <f>IF(C79=0,"-","5,5х19")</f>
        <v>-</v>
      </c>
      <c r="C79" s="79">
        <f>VLOOKUP(B13,Данные!$A$42:$M$59,12,FALSE)</f>
        <v>0</v>
      </c>
      <c r="D79" s="80" t="str">
        <f>IF(E79=0,"-","5,5х19")</f>
        <v>-</v>
      </c>
      <c r="E79" s="79">
        <f>VLOOKUP(D13,Данные!$A$42:$M$59,12,FALSE)</f>
        <v>0</v>
      </c>
      <c r="F79" s="80" t="str">
        <f>IF(G79=0,"-","5,5х19")</f>
        <v>-</v>
      </c>
      <c r="G79" s="79">
        <f>VLOOKUP(F13,Данные!$A$42:$M$59,12,FALSE)</f>
        <v>0</v>
      </c>
      <c r="H79" s="80" t="str">
        <f>IF(I79=0,"-","5,5х19")</f>
        <v>-</v>
      </c>
      <c r="I79" s="81">
        <f>VLOOKUP(H13,Данные!$A$42:$M$59,12,FALSE)</f>
        <v>0</v>
      </c>
      <c r="J79" s="182">
        <f>IF(C79=0,0,IF(OR($A$19="Цинк 0,5",$A$19="Цинк 0,55"),C79*'Цены Жалюзи'!$C$73,C79*'Цены Жалюзи'!$C$74))</f>
        <v>0</v>
      </c>
      <c r="K79" s="182">
        <f>IF(E79=0,0,IF(OR($A$19="Цинк 0,5",$A$19="Цинк 0,55"),E79*'Цены Жалюзи'!$C$73,E79*'Цены Жалюзи'!$C$74))</f>
        <v>0</v>
      </c>
      <c r="L79" s="182">
        <f>IF(G79=0,0,IF(OR($A$19="Цинк 0,5",$A$19="Цинк 0,55"),G79*'Цены Жалюзи'!$C$73,G79*'Цены Жалюзи'!$C$74))</f>
        <v>0</v>
      </c>
      <c r="M79" s="182">
        <f>IF(I79=0,0,IF(OR($A$19="Цинк 0,5",$A$19="Цинк 0,55"),I79*'Цены Жалюзи'!$C$73,I79*'Цены Жалюзи'!$C$74))</f>
        <v>0</v>
      </c>
      <c r="O79" s="13"/>
      <c r="V79" s="14"/>
      <c r="W79" s="6"/>
      <c r="X79" s="6"/>
      <c r="Y79" s="6"/>
      <c r="Z79" s="6"/>
      <c r="AA79" s="6"/>
      <c r="AB79" s="6"/>
      <c r="AC79" s="6"/>
      <c r="AD79" s="17"/>
      <c r="AE79" s="17"/>
      <c r="AF79" s="18"/>
      <c r="AG79" s="17"/>
      <c r="AH79" s="13"/>
      <c r="AI79" s="17"/>
      <c r="AJ79" s="17"/>
      <c r="AK79" s="17"/>
    </row>
    <row r="80" spans="1:37" ht="16.5" customHeight="1">
      <c r="A80" s="53" t="s">
        <v>94</v>
      </c>
      <c r="B80" s="78" t="s">
        <v>28</v>
      </c>
      <c r="C80" s="79">
        <f>VLOOKUP(B13,Данные!$A$42:$M$59,9,FALSE)</f>
        <v>0</v>
      </c>
      <c r="D80" s="80" t="s">
        <v>28</v>
      </c>
      <c r="E80" s="79">
        <f>VLOOKUP(D13,Данные!$A$42:$M$59,9,FALSE)</f>
        <v>0</v>
      </c>
      <c r="F80" s="80" t="s">
        <v>28</v>
      </c>
      <c r="G80" s="79">
        <f>VLOOKUP(F13,Данные!$A$42:$M$59,9,FALSE)</f>
        <v>0</v>
      </c>
      <c r="H80" s="80" t="s">
        <v>28</v>
      </c>
      <c r="I80" s="81">
        <f>VLOOKUP(H13,Данные!$A$42:$M$59,9,FALSE)</f>
        <v>0</v>
      </c>
      <c r="J80" s="180">
        <f>IF(C80=0,0,VLOOKUP($A$19,'Цены Жалюзи'!$B$37:$R$61,15,FALSE)*C80)</f>
        <v>0</v>
      </c>
      <c r="K80" s="180">
        <f>IF(E80=0,0,VLOOKUP($A$19,'Цены Жалюзи'!$B$37:$R$61,15,FALSE)*E80)</f>
        <v>0</v>
      </c>
      <c r="L80" s="180">
        <f>IF(G80=0,0,VLOOKUP($A$19,'Цены Жалюзи'!$B$37:$R$61,15,FALSE)*G80)</f>
        <v>0</v>
      </c>
      <c r="M80" s="180">
        <f>IF(I80=0,0,VLOOKUP($A$19,'Цены Жалюзи'!$B$37:$R$61,15,FALSE)*I80)</f>
        <v>0</v>
      </c>
      <c r="O80" s="13"/>
      <c r="V80" s="14"/>
      <c r="W80" s="6"/>
      <c r="X80" s="6"/>
      <c r="Y80" s="6"/>
      <c r="Z80" s="6"/>
      <c r="AA80" s="6"/>
      <c r="AB80" s="6"/>
      <c r="AC80" s="6"/>
      <c r="AD80" s="19"/>
      <c r="AE80" s="17"/>
      <c r="AF80" s="18"/>
      <c r="AG80" s="17"/>
      <c r="AH80" s="13"/>
      <c r="AI80" s="17"/>
      <c r="AJ80" s="17"/>
      <c r="AK80" s="17"/>
    </row>
    <row r="81" spans="1:37" ht="16.5" customHeight="1">
      <c r="A81" s="53" t="s">
        <v>97</v>
      </c>
      <c r="B81" s="78" t="s">
        <v>28</v>
      </c>
      <c r="C81" s="79">
        <f>VLOOKUP(B13,Данные!$A$42:$M$59,10,FALSE)</f>
        <v>0</v>
      </c>
      <c r="D81" s="80" t="s">
        <v>28</v>
      </c>
      <c r="E81" s="79">
        <f>VLOOKUP(D13,Данные!$A$42:$M$59,10,FALSE)</f>
        <v>0</v>
      </c>
      <c r="F81" s="80" t="s">
        <v>28</v>
      </c>
      <c r="G81" s="79">
        <f>VLOOKUP(F13,Данные!$A$42:$M$59,10,FALSE)</f>
        <v>0</v>
      </c>
      <c r="H81" s="80" t="s">
        <v>28</v>
      </c>
      <c r="I81" s="81">
        <f>VLOOKUP(H13,Данные!$A$42:$M$59,10,FALSE)</f>
        <v>0</v>
      </c>
      <c r="J81" s="180">
        <f>IF(C81=0,0,VLOOKUP($A$19,'Цены Жалюзи'!$B$37:$R$61,16,FALSE)*C81)</f>
        <v>0</v>
      </c>
      <c r="K81" s="180">
        <f>IF(E81=0,0,VLOOKUP($A$19,'Цены Жалюзи'!$B$37:$R$61,16,FALSE)*E81)</f>
        <v>0</v>
      </c>
      <c r="L81" s="180">
        <f>IF(G81=0,0,VLOOKUP($A$19,'Цены Жалюзи'!$B$37:$R$61,16,FALSE)*G81)</f>
        <v>0</v>
      </c>
      <c r="M81" s="180">
        <f>IF(I81=0,0,VLOOKUP($A$19,'Цены Жалюзи'!$B$37:$R$61,16,FALSE)*I81)</f>
        <v>0</v>
      </c>
      <c r="O81" s="13"/>
      <c r="V81" s="14"/>
      <c r="W81" s="6"/>
      <c r="X81" s="6"/>
      <c r="Y81" s="6"/>
      <c r="Z81" s="6"/>
      <c r="AA81" s="6"/>
      <c r="AB81" s="6"/>
      <c r="AC81" s="6"/>
      <c r="AD81" s="19"/>
      <c r="AE81" s="17"/>
      <c r="AF81" s="18"/>
      <c r="AG81" s="17"/>
      <c r="AH81" s="13"/>
      <c r="AI81" s="17"/>
      <c r="AJ81" s="17"/>
      <c r="AK81" s="17"/>
    </row>
    <row r="82" spans="1:37" ht="16.5" customHeight="1">
      <c r="A82" s="53" t="s">
        <v>343</v>
      </c>
      <c r="B82" s="78" t="s">
        <v>28</v>
      </c>
      <c r="C82" s="79">
        <f>VLOOKUP(B13,Данные!$A$42:$M$59,11,FALSE)</f>
        <v>0</v>
      </c>
      <c r="D82" s="80" t="s">
        <v>28</v>
      </c>
      <c r="E82" s="79">
        <f>VLOOKUP(D13,Данные!$A$42:$M$59,11,FALSE)</f>
        <v>0</v>
      </c>
      <c r="F82" s="80" t="s">
        <v>28</v>
      </c>
      <c r="G82" s="79">
        <f>VLOOKUP(F13,Данные!$A$42:$M$59,11,FALSE)</f>
        <v>0</v>
      </c>
      <c r="H82" s="80" t="s">
        <v>28</v>
      </c>
      <c r="I82" s="81">
        <f>VLOOKUP(H13,Данные!$A$42:$M$59,11,FALSE)</f>
        <v>0</v>
      </c>
      <c r="J82" s="180">
        <f>IF(C82=0,0,VLOOKUP($A$19,'Цены Жалюзи'!$B$37:$R$61,17,FALSE)*C82)</f>
        <v>0</v>
      </c>
      <c r="K82" s="180">
        <f>IF(E82=0,0,VLOOKUP($A$19,'Цены Жалюзи'!$B$37:$R$61,17,FALSE)*E82)</f>
        <v>0</v>
      </c>
      <c r="L82" s="180">
        <f>IF(G82=0,0,VLOOKUP($A$19,'Цены Жалюзи'!$B$37:$R$61,17,FALSE)*G82)</f>
        <v>0</v>
      </c>
      <c r="M82" s="180">
        <f>IF(I82=0,0,VLOOKUP($A$19,'Цены Жалюзи'!$B$37:$R$61,17,FALSE)*I82)</f>
        <v>0</v>
      </c>
      <c r="O82" s="13"/>
      <c r="V82" s="14"/>
      <c r="W82" s="6"/>
      <c r="X82" s="6"/>
      <c r="Y82" s="6"/>
      <c r="Z82" s="6"/>
      <c r="AA82" s="6"/>
      <c r="AB82" s="6"/>
      <c r="AC82" s="6"/>
      <c r="AD82" s="19"/>
      <c r="AE82" s="17"/>
      <c r="AF82" s="18"/>
      <c r="AG82" s="17"/>
      <c r="AH82" s="13"/>
      <c r="AI82" s="17"/>
      <c r="AJ82" s="17"/>
      <c r="AK82" s="17"/>
    </row>
    <row r="83" spans="1:37" ht="16.5" customHeight="1">
      <c r="A83" s="101" t="s">
        <v>274</v>
      </c>
      <c r="B83" s="106"/>
      <c r="C83" s="107"/>
      <c r="D83" s="110"/>
      <c r="E83" s="107"/>
      <c r="F83" s="110"/>
      <c r="G83" s="107"/>
      <c r="H83" s="110"/>
      <c r="I83" s="106"/>
      <c r="J83" s="77">
        <f>SUM(J27:J82)</f>
        <v>0</v>
      </c>
      <c r="K83" s="77">
        <f>SUM(K27:K82)</f>
        <v>0</v>
      </c>
      <c r="L83" s="77">
        <f>SUM(L27:L82)</f>
        <v>0</v>
      </c>
      <c r="M83" s="77">
        <f>SUM(M27:M82)</f>
        <v>0</v>
      </c>
      <c r="O83" s="13"/>
      <c r="V83" s="14"/>
      <c r="W83" s="6"/>
      <c r="X83" s="6"/>
      <c r="Y83" s="6"/>
      <c r="Z83" s="6"/>
      <c r="AA83" s="6"/>
      <c r="AB83" s="6"/>
      <c r="AC83" s="6"/>
      <c r="AD83" s="19"/>
      <c r="AE83" s="17"/>
      <c r="AF83" s="18"/>
      <c r="AG83" s="17"/>
      <c r="AH83" s="13"/>
      <c r="AI83" s="17"/>
      <c r="AJ83" s="17"/>
      <c r="AK83" s="17"/>
    </row>
    <row r="84" spans="1:37" s="154" customFormat="1" ht="16.5" customHeight="1">
      <c r="A84" s="117" t="s">
        <v>34</v>
      </c>
      <c r="B84" s="118" t="s">
        <v>308</v>
      </c>
      <c r="C84" s="119">
        <f>C36+C71+C79</f>
        <v>0</v>
      </c>
      <c r="D84" s="118" t="s">
        <v>308</v>
      </c>
      <c r="E84" s="119">
        <f>E36+E71+E79</f>
        <v>0</v>
      </c>
      <c r="F84" s="118" t="s">
        <v>308</v>
      </c>
      <c r="G84" s="119">
        <f>G36+G71+G79</f>
        <v>0</v>
      </c>
      <c r="H84" s="118" t="s">
        <v>308</v>
      </c>
      <c r="I84" s="143">
        <f>I36+I71+I79</f>
        <v>0</v>
      </c>
      <c r="J84" s="155"/>
      <c r="K84" s="155"/>
      <c r="L84" s="155"/>
      <c r="M84" s="155"/>
      <c r="O84" s="145"/>
      <c r="V84" s="156"/>
      <c r="W84" s="157"/>
      <c r="X84" s="157"/>
      <c r="Y84" s="157"/>
      <c r="Z84" s="157"/>
      <c r="AA84" s="157"/>
      <c r="AB84" s="157"/>
      <c r="AC84" s="157"/>
      <c r="AD84" s="158"/>
      <c r="AE84" s="159"/>
      <c r="AF84" s="160"/>
      <c r="AG84" s="159"/>
      <c r="AH84" s="145"/>
      <c r="AI84" s="159"/>
      <c r="AJ84" s="159"/>
      <c r="AK84" s="159"/>
    </row>
    <row r="85" spans="1:37" s="154" customFormat="1" ht="16.5" customHeight="1">
      <c r="A85" s="121" t="s">
        <v>36</v>
      </c>
      <c r="B85" s="118" t="s">
        <v>310</v>
      </c>
      <c r="C85" s="119">
        <f>C37</f>
        <v>0</v>
      </c>
      <c r="D85" s="118" t="s">
        <v>310</v>
      </c>
      <c r="E85" s="119">
        <f>E37</f>
        <v>0</v>
      </c>
      <c r="F85" s="118" t="s">
        <v>310</v>
      </c>
      <c r="G85" s="119">
        <f>G37</f>
        <v>0</v>
      </c>
      <c r="H85" s="118" t="s">
        <v>310</v>
      </c>
      <c r="I85" s="143">
        <f>I37</f>
        <v>0</v>
      </c>
      <c r="J85" s="155"/>
      <c r="K85" s="155"/>
      <c r="L85" s="155"/>
      <c r="M85" s="155"/>
      <c r="O85" s="145"/>
      <c r="V85" s="156"/>
      <c r="W85" s="157"/>
      <c r="X85" s="157"/>
      <c r="Y85" s="157"/>
      <c r="Z85" s="157"/>
      <c r="AA85" s="157"/>
      <c r="AB85" s="157"/>
      <c r="AC85" s="157"/>
      <c r="AD85" s="158"/>
      <c r="AE85" s="159"/>
      <c r="AF85" s="160"/>
      <c r="AG85" s="159"/>
      <c r="AH85" s="145"/>
      <c r="AI85" s="159"/>
      <c r="AJ85" s="159"/>
      <c r="AK85" s="159"/>
    </row>
    <row r="86" spans="1:37" s="154" customFormat="1" ht="16.5" customHeight="1">
      <c r="A86" s="121" t="s">
        <v>306</v>
      </c>
      <c r="B86" s="118" t="s">
        <v>309</v>
      </c>
      <c r="C86" s="119">
        <f>C38</f>
        <v>0</v>
      </c>
      <c r="D86" s="118" t="s">
        <v>309</v>
      </c>
      <c r="E86" s="119">
        <f>E38</f>
        <v>0</v>
      </c>
      <c r="F86" s="118" t="s">
        <v>309</v>
      </c>
      <c r="G86" s="119">
        <f>G38</f>
        <v>0</v>
      </c>
      <c r="H86" s="118" t="s">
        <v>309</v>
      </c>
      <c r="I86" s="143">
        <f>I38</f>
        <v>0</v>
      </c>
      <c r="J86" s="155"/>
      <c r="K86" s="155"/>
      <c r="L86" s="155"/>
      <c r="M86" s="155"/>
      <c r="O86" s="145"/>
      <c r="V86" s="156"/>
      <c r="W86" s="157"/>
      <c r="X86" s="157"/>
      <c r="Y86" s="157"/>
      <c r="Z86" s="157"/>
      <c r="AA86" s="157"/>
      <c r="AB86" s="157"/>
      <c r="AC86" s="157"/>
      <c r="AD86" s="158"/>
      <c r="AE86" s="159"/>
      <c r="AF86" s="160"/>
      <c r="AG86" s="159"/>
      <c r="AH86" s="145"/>
      <c r="AI86" s="159"/>
      <c r="AJ86" s="159"/>
      <c r="AK86" s="159"/>
    </row>
    <row r="87" spans="1:37" s="154" customFormat="1" ht="16.5" customHeight="1">
      <c r="A87" s="121" t="s">
        <v>112</v>
      </c>
      <c r="B87" s="118"/>
      <c r="C87" s="119">
        <f>C39</f>
        <v>0</v>
      </c>
      <c r="D87" s="118"/>
      <c r="E87" s="119">
        <f>E39</f>
        <v>0</v>
      </c>
      <c r="F87" s="118"/>
      <c r="G87" s="119">
        <f>G39</f>
        <v>0</v>
      </c>
      <c r="H87" s="118"/>
      <c r="I87" s="143">
        <f>I39</f>
        <v>0</v>
      </c>
      <c r="J87" s="155"/>
      <c r="K87" s="155"/>
      <c r="L87" s="155"/>
      <c r="M87" s="155"/>
      <c r="O87" s="145"/>
      <c r="V87" s="156"/>
      <c r="W87" s="157"/>
      <c r="X87" s="157"/>
      <c r="Y87" s="157"/>
      <c r="Z87" s="157"/>
      <c r="AA87" s="157"/>
      <c r="AB87" s="157"/>
      <c r="AC87" s="157"/>
      <c r="AD87" s="158"/>
      <c r="AE87" s="159"/>
      <c r="AF87" s="160"/>
      <c r="AG87" s="159"/>
      <c r="AH87" s="145"/>
      <c r="AI87" s="159"/>
      <c r="AJ87" s="159"/>
      <c r="AK87" s="159"/>
    </row>
    <row r="88" spans="1:15" ht="12.75" customHeight="1">
      <c r="A88" s="14"/>
      <c r="B88" s="59"/>
      <c r="C88" s="13"/>
      <c r="D88" s="13"/>
      <c r="E88" s="13"/>
      <c r="F88" s="13"/>
      <c r="G88" s="13"/>
      <c r="H88" s="13"/>
      <c r="I88" s="13"/>
      <c r="N88" s="60"/>
      <c r="O88" s="13"/>
    </row>
    <row r="89" spans="1:15" ht="12.75" customHeight="1">
      <c r="A89" s="60"/>
      <c r="B89" s="59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60"/>
      <c r="O89" s="13"/>
    </row>
    <row r="90" spans="1:15" ht="19.5" customHeight="1">
      <c r="A90" s="224" t="s">
        <v>241</v>
      </c>
      <c r="B90" s="224"/>
      <c r="C90" s="224"/>
      <c r="D90" s="224"/>
      <c r="E90" s="224"/>
      <c r="F90" s="224"/>
      <c r="G90" s="224"/>
      <c r="H90" s="224"/>
      <c r="I90" s="224"/>
      <c r="J90" s="13"/>
      <c r="K90" s="13"/>
      <c r="L90" s="13"/>
      <c r="M90" s="13"/>
      <c r="N90" s="60"/>
      <c r="O90" s="13"/>
    </row>
    <row r="91" spans="1:15" ht="18" customHeight="1">
      <c r="A91" s="216" t="s">
        <v>158</v>
      </c>
      <c r="B91" s="216"/>
      <c r="C91" s="216"/>
      <c r="D91" s="216"/>
      <c r="E91" s="216"/>
      <c r="F91" s="216"/>
      <c r="G91" s="216"/>
      <c r="H91" s="216"/>
      <c r="I91" s="216"/>
      <c r="J91" s="13"/>
      <c r="K91" s="13"/>
      <c r="L91" s="13"/>
      <c r="M91" s="13"/>
      <c r="N91" s="60"/>
      <c r="O91" s="13"/>
    </row>
    <row r="92" spans="1:14" ht="16.5" customHeight="1">
      <c r="A92" s="216" t="s">
        <v>242</v>
      </c>
      <c r="B92" s="216"/>
      <c r="C92" s="216"/>
      <c r="D92" s="216"/>
      <c r="E92" s="216"/>
      <c r="F92" s="216"/>
      <c r="G92" s="216"/>
      <c r="H92" s="216"/>
      <c r="I92" s="216"/>
      <c r="J92" s="14"/>
      <c r="K92" s="14"/>
      <c r="L92" s="14"/>
      <c r="M92" s="14"/>
      <c r="N92" s="14"/>
    </row>
    <row r="93" spans="1:14" ht="12.75" customHeight="1">
      <c r="A93" s="216" t="s">
        <v>246</v>
      </c>
      <c r="B93" s="216"/>
      <c r="C93" s="216"/>
      <c r="D93" s="216"/>
      <c r="E93" s="216"/>
      <c r="F93" s="216"/>
      <c r="G93" s="216"/>
      <c r="H93" s="216"/>
      <c r="I93" s="216"/>
      <c r="J93" s="14"/>
      <c r="K93" s="14"/>
      <c r="L93" s="14"/>
      <c r="M93" s="14"/>
      <c r="N93" s="14"/>
    </row>
    <row r="94" spans="1:14" ht="12.75" customHeight="1">
      <c r="A94" s="216" t="s">
        <v>247</v>
      </c>
      <c r="B94" s="216"/>
      <c r="C94" s="216"/>
      <c r="D94" s="216"/>
      <c r="E94" s="216"/>
      <c r="F94" s="216"/>
      <c r="G94" s="216"/>
      <c r="H94" s="216"/>
      <c r="I94" s="216"/>
      <c r="J94" s="14"/>
      <c r="K94" s="14"/>
      <c r="L94" s="14"/>
      <c r="M94" s="14"/>
      <c r="N94" s="14"/>
    </row>
    <row r="95" spans="1:15" ht="15" customHeight="1">
      <c r="A95" s="202" t="s">
        <v>100</v>
      </c>
      <c r="B95" s="202"/>
      <c r="C95" s="202"/>
      <c r="D95" s="202"/>
      <c r="E95" s="202"/>
      <c r="F95" s="202"/>
      <c r="G95" s="202"/>
      <c r="H95" s="202"/>
      <c r="I95" s="202"/>
      <c r="K95" s="7"/>
      <c r="L95" s="7"/>
      <c r="M95" s="7"/>
      <c r="N95" s="22"/>
      <c r="O95" s="22"/>
    </row>
    <row r="96" spans="1:15" ht="15" customHeight="1">
      <c r="A96" s="202"/>
      <c r="B96" s="202"/>
      <c r="C96" s="202"/>
      <c r="D96" s="202"/>
      <c r="E96" s="202"/>
      <c r="F96" s="202"/>
      <c r="G96" s="202"/>
      <c r="H96" s="202"/>
      <c r="I96" s="202"/>
      <c r="J96" s="61"/>
      <c r="K96" s="23"/>
      <c r="L96" s="23"/>
      <c r="M96" s="23"/>
      <c r="N96" s="23"/>
      <c r="O96" s="23"/>
    </row>
    <row r="97" spans="1:17" ht="9.75" customHeight="1">
      <c r="A97" s="202" t="s">
        <v>243</v>
      </c>
      <c r="B97" s="202"/>
      <c r="C97" s="202"/>
      <c r="D97" s="202"/>
      <c r="E97" s="202"/>
      <c r="F97" s="202"/>
      <c r="G97" s="202"/>
      <c r="H97" s="202"/>
      <c r="I97" s="202"/>
      <c r="J97" s="61"/>
      <c r="K97" s="62"/>
      <c r="L97" s="62"/>
      <c r="M97" s="63"/>
      <c r="N97" s="64"/>
      <c r="O97" s="50"/>
      <c r="P97" s="25"/>
      <c r="Q97" s="25"/>
    </row>
    <row r="98" spans="1:17" ht="14.25" customHeight="1">
      <c r="A98" s="202"/>
      <c r="B98" s="202"/>
      <c r="C98" s="202"/>
      <c r="D98" s="202"/>
      <c r="E98" s="202"/>
      <c r="F98" s="202"/>
      <c r="G98" s="202"/>
      <c r="H98" s="202"/>
      <c r="I98" s="202"/>
      <c r="J98" s="61"/>
      <c r="K98" s="62"/>
      <c r="L98" s="62"/>
      <c r="M98" s="63"/>
      <c r="N98" s="64"/>
      <c r="O98" s="50"/>
      <c r="P98" s="25"/>
      <c r="Q98" s="25"/>
    </row>
    <row r="99" spans="1:15" ht="15" customHeight="1">
      <c r="A99" s="202"/>
      <c r="B99" s="202"/>
      <c r="C99" s="202"/>
      <c r="D99" s="202"/>
      <c r="E99" s="202"/>
      <c r="F99" s="202"/>
      <c r="G99" s="202"/>
      <c r="H99" s="202"/>
      <c r="I99" s="202"/>
      <c r="J99" s="61"/>
      <c r="K99" s="62"/>
      <c r="L99" s="62"/>
      <c r="M99" s="63"/>
      <c r="N99" s="64"/>
      <c r="O99" s="50"/>
    </row>
    <row r="100" spans="1:17" ht="12.75" customHeight="1">
      <c r="A100" s="202" t="s">
        <v>101</v>
      </c>
      <c r="B100" s="202"/>
      <c r="C100" s="202"/>
      <c r="D100" s="202"/>
      <c r="E100" s="202"/>
      <c r="F100" s="202"/>
      <c r="G100" s="202"/>
      <c r="H100" s="202"/>
      <c r="I100" s="202"/>
      <c r="J100" s="61"/>
      <c r="K100" s="62"/>
      <c r="L100" s="62"/>
      <c r="M100" s="63"/>
      <c r="N100" s="64"/>
      <c r="O100" s="50"/>
      <c r="P100" s="25"/>
      <c r="Q100" s="25"/>
    </row>
    <row r="101" spans="1:15" ht="15" customHeight="1">
      <c r="A101" s="202"/>
      <c r="B101" s="202"/>
      <c r="C101" s="202"/>
      <c r="D101" s="202"/>
      <c r="E101" s="202"/>
      <c r="F101" s="202"/>
      <c r="G101" s="202"/>
      <c r="H101" s="202"/>
      <c r="I101" s="202"/>
      <c r="J101" s="61"/>
      <c r="K101" s="62"/>
      <c r="L101" s="62"/>
      <c r="M101" s="63"/>
      <c r="N101" s="64"/>
      <c r="O101" s="50"/>
    </row>
    <row r="102" spans="1:17" ht="12.75" customHeight="1">
      <c r="A102" s="204" t="s">
        <v>102</v>
      </c>
      <c r="B102" s="205"/>
      <c r="C102" s="205"/>
      <c r="D102" s="205"/>
      <c r="E102" s="205"/>
      <c r="F102" s="205"/>
      <c r="G102" s="205"/>
      <c r="H102" s="205"/>
      <c r="I102" s="206"/>
      <c r="J102" s="61"/>
      <c r="K102" s="62"/>
      <c r="L102" s="62"/>
      <c r="M102" s="63"/>
      <c r="N102" s="64"/>
      <c r="O102" s="50"/>
      <c r="P102" s="25"/>
      <c r="Q102" s="25"/>
    </row>
    <row r="103" spans="1:15" ht="12.75" customHeight="1">
      <c r="A103" s="213"/>
      <c r="B103" s="214"/>
      <c r="C103" s="214"/>
      <c r="D103" s="214"/>
      <c r="E103" s="214"/>
      <c r="F103" s="214"/>
      <c r="G103" s="214"/>
      <c r="H103" s="214"/>
      <c r="I103" s="215"/>
      <c r="J103" s="61"/>
      <c r="K103" s="62"/>
      <c r="L103" s="62"/>
      <c r="M103" s="63"/>
      <c r="N103" s="64"/>
      <c r="O103" s="50"/>
    </row>
    <row r="104" spans="1:17" ht="15" customHeight="1">
      <c r="A104" s="213"/>
      <c r="B104" s="214"/>
      <c r="C104" s="214"/>
      <c r="D104" s="214"/>
      <c r="E104" s="214"/>
      <c r="F104" s="214"/>
      <c r="G104" s="214"/>
      <c r="H104" s="214"/>
      <c r="I104" s="215"/>
      <c r="J104" s="61"/>
      <c r="K104" s="62"/>
      <c r="L104" s="62"/>
      <c r="M104" s="63"/>
      <c r="N104" s="64"/>
      <c r="O104" s="50"/>
      <c r="P104" s="25"/>
      <c r="Q104" s="25"/>
    </row>
    <row r="105" spans="1:15" ht="12.75" customHeight="1">
      <c r="A105" s="207"/>
      <c r="B105" s="208"/>
      <c r="C105" s="208"/>
      <c r="D105" s="208"/>
      <c r="E105" s="208"/>
      <c r="F105" s="208"/>
      <c r="G105" s="208"/>
      <c r="H105" s="208"/>
      <c r="I105" s="209"/>
      <c r="J105" s="61"/>
      <c r="K105" s="62"/>
      <c r="L105" s="62"/>
      <c r="M105" s="63"/>
      <c r="N105" s="64"/>
      <c r="O105" s="50"/>
    </row>
    <row r="106" spans="1:15" ht="12.75" customHeight="1">
      <c r="A106" s="202" t="s">
        <v>245</v>
      </c>
      <c r="B106" s="202"/>
      <c r="C106" s="202"/>
      <c r="D106" s="202"/>
      <c r="E106" s="202"/>
      <c r="F106" s="202"/>
      <c r="G106" s="202"/>
      <c r="H106" s="202"/>
      <c r="I106" s="202"/>
      <c r="J106" s="61"/>
      <c r="K106" s="62"/>
      <c r="L106" s="62"/>
      <c r="M106" s="63"/>
      <c r="N106" s="64"/>
      <c r="O106" s="50"/>
    </row>
    <row r="107" spans="1:15" ht="12.75" customHeight="1">
      <c r="A107" s="202"/>
      <c r="B107" s="202"/>
      <c r="C107" s="202"/>
      <c r="D107" s="202"/>
      <c r="E107" s="202"/>
      <c r="F107" s="202"/>
      <c r="G107" s="202"/>
      <c r="H107" s="202"/>
      <c r="I107" s="202"/>
      <c r="J107" s="61"/>
      <c r="K107" s="62"/>
      <c r="L107" s="62"/>
      <c r="M107" s="63"/>
      <c r="N107" s="64"/>
      <c r="O107" s="50"/>
    </row>
    <row r="108" spans="1:17" ht="12.75" customHeight="1">
      <c r="A108" s="210" t="s">
        <v>248</v>
      </c>
      <c r="B108" s="211"/>
      <c r="C108" s="211"/>
      <c r="D108" s="211"/>
      <c r="E108" s="211"/>
      <c r="F108" s="211"/>
      <c r="G108" s="211"/>
      <c r="H108" s="211"/>
      <c r="I108" s="212"/>
      <c r="J108" s="61"/>
      <c r="K108" s="62"/>
      <c r="L108" s="62"/>
      <c r="M108" s="63"/>
      <c r="N108" s="64"/>
      <c r="O108" s="50"/>
      <c r="P108" s="25"/>
      <c r="Q108" s="25"/>
    </row>
    <row r="109" spans="1:15" ht="12.75" customHeight="1">
      <c r="A109" s="204" t="s">
        <v>244</v>
      </c>
      <c r="B109" s="205"/>
      <c r="C109" s="205"/>
      <c r="D109" s="205"/>
      <c r="E109" s="205"/>
      <c r="F109" s="205"/>
      <c r="G109" s="205"/>
      <c r="H109" s="205"/>
      <c r="I109" s="206"/>
      <c r="J109" s="61"/>
      <c r="K109" s="62"/>
      <c r="L109" s="62"/>
      <c r="M109" s="63"/>
      <c r="N109" s="64"/>
      <c r="O109" s="50"/>
    </row>
    <row r="110" spans="1:17" ht="12.75" customHeight="1">
      <c r="A110" s="207"/>
      <c r="B110" s="208"/>
      <c r="C110" s="208"/>
      <c r="D110" s="208"/>
      <c r="E110" s="208"/>
      <c r="F110" s="208"/>
      <c r="G110" s="208"/>
      <c r="H110" s="208"/>
      <c r="I110" s="209"/>
      <c r="J110" s="61"/>
      <c r="K110" s="14"/>
      <c r="L110" s="62"/>
      <c r="M110" s="63"/>
      <c r="N110" s="64"/>
      <c r="O110" s="50"/>
      <c r="P110" s="25"/>
      <c r="Q110" s="25"/>
    </row>
    <row r="111" spans="1:17" ht="12.75" customHeight="1">
      <c r="A111" s="200" t="s">
        <v>113</v>
      </c>
      <c r="B111" s="200"/>
      <c r="C111" s="200"/>
      <c r="D111" s="200"/>
      <c r="E111" s="200"/>
      <c r="F111" s="200"/>
      <c r="G111" s="200"/>
      <c r="H111" s="200"/>
      <c r="I111" s="200"/>
      <c r="J111" s="61"/>
      <c r="K111" s="14"/>
      <c r="L111" s="62"/>
      <c r="M111" s="63"/>
      <c r="N111" s="64"/>
      <c r="O111" s="50"/>
      <c r="P111" s="25"/>
      <c r="Q111" s="25"/>
    </row>
    <row r="112" spans="1:15" ht="12.75">
      <c r="A112" s="200"/>
      <c r="B112" s="200"/>
      <c r="C112" s="200"/>
      <c r="D112" s="200"/>
      <c r="E112" s="200"/>
      <c r="F112" s="200"/>
      <c r="G112" s="200"/>
      <c r="H112" s="200"/>
      <c r="I112" s="200"/>
      <c r="J112" s="61"/>
      <c r="K112" s="14"/>
      <c r="L112" s="62"/>
      <c r="M112" s="63"/>
      <c r="N112" s="64"/>
      <c r="O112" s="50"/>
    </row>
    <row r="113" spans="1:15" ht="12.75">
      <c r="A113" s="200"/>
      <c r="B113" s="200"/>
      <c r="C113" s="200"/>
      <c r="D113" s="200"/>
      <c r="E113" s="200"/>
      <c r="F113" s="200"/>
      <c r="G113" s="200"/>
      <c r="H113" s="200"/>
      <c r="I113" s="200"/>
      <c r="J113" s="61"/>
      <c r="K113" s="14"/>
      <c r="L113" s="62"/>
      <c r="M113" s="63"/>
      <c r="N113" s="64"/>
      <c r="O113" s="50"/>
    </row>
    <row r="114" spans="1:15" ht="12.75">
      <c r="A114" s="200"/>
      <c r="B114" s="200"/>
      <c r="C114" s="200"/>
      <c r="D114" s="200"/>
      <c r="E114" s="200"/>
      <c r="F114" s="200"/>
      <c r="G114" s="200"/>
      <c r="H114" s="200"/>
      <c r="I114" s="200"/>
      <c r="J114" s="61"/>
      <c r="K114" s="14"/>
      <c r="L114" s="62"/>
      <c r="M114" s="63"/>
      <c r="N114" s="64"/>
      <c r="O114" s="50"/>
    </row>
    <row r="115" spans="1:15" ht="12.75">
      <c r="A115" s="200"/>
      <c r="B115" s="200"/>
      <c r="C115" s="200"/>
      <c r="D115" s="200"/>
      <c r="E115" s="200"/>
      <c r="F115" s="200"/>
      <c r="G115" s="200"/>
      <c r="H115" s="200"/>
      <c r="I115" s="200"/>
      <c r="J115" s="61"/>
      <c r="K115" s="14"/>
      <c r="L115" s="62"/>
      <c r="M115" s="63"/>
      <c r="N115" s="64"/>
      <c r="O115" s="50"/>
    </row>
    <row r="116" spans="1:15" ht="12.75" customHeight="1">
      <c r="A116" s="200"/>
      <c r="B116" s="200"/>
      <c r="C116" s="200"/>
      <c r="D116" s="200"/>
      <c r="E116" s="200"/>
      <c r="F116" s="200"/>
      <c r="G116" s="200"/>
      <c r="H116" s="200"/>
      <c r="I116" s="200"/>
      <c r="J116" s="65"/>
      <c r="K116" s="65"/>
      <c r="L116" s="65"/>
      <c r="M116" s="65"/>
      <c r="N116" s="65"/>
      <c r="O116" s="13"/>
    </row>
    <row r="117" spans="1:15" ht="12.75">
      <c r="A117" s="200"/>
      <c r="B117" s="200"/>
      <c r="C117" s="200"/>
      <c r="D117" s="200"/>
      <c r="E117" s="200"/>
      <c r="F117" s="200"/>
      <c r="G117" s="200"/>
      <c r="H117" s="200"/>
      <c r="I117" s="200"/>
      <c r="J117" s="66"/>
      <c r="K117" s="66"/>
      <c r="L117" s="66"/>
      <c r="M117" s="66"/>
      <c r="N117" s="66"/>
      <c r="O117" s="13"/>
    </row>
    <row r="118" spans="1:15" ht="15" customHeight="1">
      <c r="A118" s="200"/>
      <c r="B118" s="200"/>
      <c r="C118" s="200"/>
      <c r="D118" s="200"/>
      <c r="E118" s="200"/>
      <c r="F118" s="200"/>
      <c r="G118" s="200"/>
      <c r="H118" s="200"/>
      <c r="I118" s="200"/>
      <c r="J118" s="66"/>
      <c r="K118" s="66"/>
      <c r="L118" s="66"/>
      <c r="M118" s="66"/>
      <c r="N118" s="66"/>
      <c r="O118" s="13"/>
    </row>
    <row r="119" spans="1:14" ht="12.75" customHeight="1">
      <c r="A119" s="200"/>
      <c r="B119" s="200"/>
      <c r="C119" s="200"/>
      <c r="D119" s="200"/>
      <c r="E119" s="200"/>
      <c r="F119" s="200"/>
      <c r="G119" s="200"/>
      <c r="H119" s="200"/>
      <c r="I119" s="200"/>
      <c r="J119" s="66"/>
      <c r="K119" s="66"/>
      <c r="L119" s="66"/>
      <c r="M119" s="66"/>
      <c r="N119" s="66"/>
    </row>
    <row r="120" spans="1:14" ht="12.75" customHeight="1">
      <c r="A120" s="200"/>
      <c r="B120" s="200"/>
      <c r="C120" s="200"/>
      <c r="D120" s="200"/>
      <c r="E120" s="200"/>
      <c r="F120" s="200"/>
      <c r="G120" s="200"/>
      <c r="H120" s="200"/>
      <c r="I120" s="200"/>
      <c r="J120" s="66"/>
      <c r="K120" s="66"/>
      <c r="L120" s="66"/>
      <c r="M120" s="66"/>
      <c r="N120" s="66"/>
    </row>
    <row r="121" spans="1:14" ht="12.75">
      <c r="A121" s="200"/>
      <c r="B121" s="200"/>
      <c r="C121" s="200"/>
      <c r="D121" s="200"/>
      <c r="E121" s="200"/>
      <c r="F121" s="200"/>
      <c r="G121" s="200"/>
      <c r="H121" s="200"/>
      <c r="I121" s="200"/>
      <c r="J121" s="66"/>
      <c r="K121" s="66"/>
      <c r="L121" s="66"/>
      <c r="M121" s="66"/>
      <c r="N121" s="66"/>
    </row>
    <row r="122" spans="1:15" ht="18" customHeight="1">
      <c r="A122" s="200"/>
      <c r="B122" s="200"/>
      <c r="C122" s="200"/>
      <c r="D122" s="200"/>
      <c r="E122" s="200"/>
      <c r="F122" s="200"/>
      <c r="G122" s="200"/>
      <c r="H122" s="200"/>
      <c r="I122" s="200"/>
      <c r="J122" s="14"/>
      <c r="K122" s="14"/>
      <c r="L122" s="14"/>
      <c r="M122" s="14"/>
      <c r="N122" s="14"/>
      <c r="O122" s="11"/>
    </row>
    <row r="123" spans="1:15" ht="12.75" customHeight="1">
      <c r="A123" s="200"/>
      <c r="B123" s="200"/>
      <c r="C123" s="200"/>
      <c r="D123" s="200"/>
      <c r="E123" s="200"/>
      <c r="F123" s="200"/>
      <c r="G123" s="200"/>
      <c r="H123" s="200"/>
      <c r="I123" s="200"/>
      <c r="J123" s="14"/>
      <c r="K123" s="14"/>
      <c r="L123" s="14"/>
      <c r="M123" s="14"/>
      <c r="N123" s="14"/>
      <c r="O123" s="28"/>
    </row>
    <row r="124" spans="1:15" ht="12.75" customHeight="1">
      <c r="A124" s="200"/>
      <c r="B124" s="200"/>
      <c r="C124" s="200"/>
      <c r="D124" s="200"/>
      <c r="E124" s="200"/>
      <c r="F124" s="200"/>
      <c r="G124" s="200"/>
      <c r="H124" s="200"/>
      <c r="I124" s="200"/>
      <c r="J124" s="14"/>
      <c r="K124" s="14"/>
      <c r="L124" s="14"/>
      <c r="M124" s="14"/>
      <c r="N124" s="14"/>
      <c r="O124" s="28"/>
    </row>
    <row r="125" spans="1:15" ht="12.75" customHeight="1">
      <c r="A125" s="200"/>
      <c r="B125" s="200"/>
      <c r="C125" s="200"/>
      <c r="D125" s="200"/>
      <c r="E125" s="200"/>
      <c r="F125" s="200"/>
      <c r="G125" s="200"/>
      <c r="H125" s="200"/>
      <c r="I125" s="200"/>
      <c r="J125" s="14"/>
      <c r="K125" s="14"/>
      <c r="L125" s="14"/>
      <c r="M125" s="14"/>
      <c r="N125" s="14"/>
      <c r="O125" s="28"/>
    </row>
    <row r="126" spans="1:15" ht="12.75" customHeight="1">
      <c r="A126" s="200"/>
      <c r="B126" s="200"/>
      <c r="C126" s="200"/>
      <c r="D126" s="200"/>
      <c r="E126" s="200"/>
      <c r="F126" s="200"/>
      <c r="G126" s="200"/>
      <c r="H126" s="200"/>
      <c r="I126" s="200"/>
      <c r="J126" s="14"/>
      <c r="K126" s="14"/>
      <c r="L126" s="14"/>
      <c r="M126" s="14"/>
      <c r="N126" s="14"/>
      <c r="O126" s="28"/>
    </row>
    <row r="127" spans="1:15" ht="12.75" customHeight="1">
      <c r="A127" s="200"/>
      <c r="B127" s="200"/>
      <c r="C127" s="200"/>
      <c r="D127" s="200"/>
      <c r="E127" s="200"/>
      <c r="F127" s="200"/>
      <c r="G127" s="200"/>
      <c r="H127" s="200"/>
      <c r="I127" s="200"/>
      <c r="J127" s="14"/>
      <c r="K127" s="14"/>
      <c r="L127" s="14"/>
      <c r="M127" s="14"/>
      <c r="N127" s="14"/>
      <c r="O127" s="8"/>
    </row>
    <row r="128" spans="1:14" ht="11.25" customHeight="1">
      <c r="A128" s="200"/>
      <c r="B128" s="200"/>
      <c r="C128" s="200"/>
      <c r="D128" s="200"/>
      <c r="E128" s="200"/>
      <c r="F128" s="200"/>
      <c r="G128" s="200"/>
      <c r="H128" s="200"/>
      <c r="I128" s="200"/>
      <c r="J128" s="14"/>
      <c r="K128" s="14"/>
      <c r="L128" s="14"/>
      <c r="M128" s="14"/>
      <c r="N128" s="14"/>
    </row>
    <row r="129" spans="1:9" ht="12.75" customHeight="1">
      <c r="A129" s="200"/>
      <c r="B129" s="200"/>
      <c r="C129" s="200"/>
      <c r="D129" s="200"/>
      <c r="E129" s="200"/>
      <c r="F129" s="200"/>
      <c r="G129" s="200"/>
      <c r="H129" s="200"/>
      <c r="I129" s="200"/>
    </row>
    <row r="130" spans="1:15" ht="12.75" customHeight="1">
      <c r="A130" s="200"/>
      <c r="B130" s="200"/>
      <c r="C130" s="200"/>
      <c r="D130" s="200"/>
      <c r="E130" s="200"/>
      <c r="F130" s="200"/>
      <c r="G130" s="200"/>
      <c r="H130" s="200"/>
      <c r="I130" s="200"/>
      <c r="O130" s="32"/>
    </row>
    <row r="131" ht="12.75" customHeight="1">
      <c r="O131" s="33"/>
    </row>
    <row r="132" spans="1:8" ht="12.75" customHeight="1">
      <c r="A132" s="26"/>
      <c r="B132" s="26"/>
      <c r="C132" s="26"/>
      <c r="D132" s="26"/>
      <c r="E132" s="26"/>
      <c r="F132" s="26"/>
      <c r="G132" s="26"/>
      <c r="H132" s="26"/>
    </row>
    <row r="133" spans="1:8" ht="12.75">
      <c r="A133" s="26"/>
      <c r="B133" s="26"/>
      <c r="C133" s="26"/>
      <c r="D133" s="26"/>
      <c r="E133" s="26"/>
      <c r="F133" s="26"/>
      <c r="G133" s="26"/>
      <c r="H133" s="26"/>
    </row>
    <row r="134" spans="1:8" ht="12.75">
      <c r="A134" s="26"/>
      <c r="B134" s="26"/>
      <c r="C134" s="26"/>
      <c r="D134" s="26"/>
      <c r="E134" s="26"/>
      <c r="F134" s="26"/>
      <c r="G134" s="26"/>
      <c r="H134" s="26"/>
    </row>
    <row r="135" spans="1:8" ht="12.75">
      <c r="A135" s="26"/>
      <c r="B135" s="26"/>
      <c r="C135" s="26"/>
      <c r="D135" s="26"/>
      <c r="E135" s="26"/>
      <c r="F135" s="26"/>
      <c r="G135" s="26"/>
      <c r="H135" s="26"/>
    </row>
    <row r="136" spans="1:8" ht="12.75" customHeight="1">
      <c r="A136" s="26"/>
      <c r="B136" s="26"/>
      <c r="C136" s="26"/>
      <c r="D136" s="26"/>
      <c r="E136" s="26"/>
      <c r="F136" s="26"/>
      <c r="G136" s="26"/>
      <c r="H136" s="26"/>
    </row>
    <row r="137" spans="1:8" ht="12.75" customHeight="1">
      <c r="A137" s="26"/>
      <c r="B137" s="26"/>
      <c r="C137" s="26"/>
      <c r="D137" s="26"/>
      <c r="E137" s="26"/>
      <c r="F137" s="26"/>
      <c r="G137" s="26"/>
      <c r="H137" s="26"/>
    </row>
    <row r="138" spans="1:8" ht="12.75" customHeight="1">
      <c r="A138" s="26"/>
      <c r="B138" s="26"/>
      <c r="C138" s="26"/>
      <c r="D138" s="26"/>
      <c r="E138" s="26"/>
      <c r="F138" s="26"/>
      <c r="G138" s="26"/>
      <c r="H138" s="26"/>
    </row>
    <row r="139" spans="1:8" ht="12.75" customHeight="1">
      <c r="A139" s="26"/>
      <c r="B139" s="26"/>
      <c r="C139" s="26"/>
      <c r="D139" s="26"/>
      <c r="E139" s="26"/>
      <c r="F139" s="26"/>
      <c r="G139" s="26"/>
      <c r="H139" s="26"/>
    </row>
    <row r="140" spans="1:8" ht="12.75" customHeight="1">
      <c r="A140" s="26"/>
      <c r="B140" s="26"/>
      <c r="C140" s="26"/>
      <c r="D140" s="26"/>
      <c r="E140" s="26"/>
      <c r="F140" s="26"/>
      <c r="G140" s="26"/>
      <c r="H140" s="26"/>
    </row>
    <row r="141" spans="1:8" ht="12.75" customHeight="1">
      <c r="A141" s="27"/>
      <c r="B141" s="27"/>
      <c r="C141" s="27"/>
      <c r="D141" s="27"/>
      <c r="E141" s="27"/>
      <c r="F141" s="27"/>
      <c r="G141" s="27"/>
      <c r="H141" s="27"/>
    </row>
    <row r="142" spans="1:8" ht="12.75" customHeight="1">
      <c r="A142" s="27"/>
      <c r="B142" s="27"/>
      <c r="C142" s="27"/>
      <c r="D142" s="27"/>
      <c r="E142" s="27"/>
      <c r="F142" s="27"/>
      <c r="G142" s="27"/>
      <c r="H142" s="27"/>
    </row>
    <row r="143" spans="1:8" ht="12.75" customHeight="1">
      <c r="A143" s="27"/>
      <c r="B143" s="27"/>
      <c r="C143" s="27"/>
      <c r="D143" s="27"/>
      <c r="E143" s="27"/>
      <c r="F143" s="27"/>
      <c r="G143" s="27"/>
      <c r="H143" s="27"/>
    </row>
    <row r="144" spans="1:8" ht="12.75" customHeight="1">
      <c r="A144" s="27"/>
      <c r="B144" s="27"/>
      <c r="C144" s="27"/>
      <c r="D144" s="27"/>
      <c r="E144" s="27"/>
      <c r="F144" s="27"/>
      <c r="G144" s="27"/>
      <c r="H144" s="27"/>
    </row>
    <row r="145" ht="12.75" customHeight="1">
      <c r="H145" s="14"/>
    </row>
    <row r="146" ht="12.75" customHeight="1">
      <c r="H146" s="14"/>
    </row>
    <row r="147" ht="12.75">
      <c r="H147" s="14"/>
    </row>
    <row r="148" spans="1:8" ht="12.75">
      <c r="A148" s="5"/>
      <c r="B148" s="5"/>
      <c r="H148" s="14"/>
    </row>
    <row r="149" spans="1:8" ht="12.75">
      <c r="A149" s="5"/>
      <c r="B149" s="68"/>
      <c r="H149" s="14"/>
    </row>
    <row r="150" spans="1:8" ht="12.75">
      <c r="A150" s="5"/>
      <c r="B150" s="68"/>
      <c r="H150" s="14"/>
    </row>
    <row r="151" spans="1:8" ht="12.75">
      <c r="A151" s="65"/>
      <c r="B151" s="68"/>
      <c r="H151" s="14"/>
    </row>
    <row r="152" spans="1:8" ht="12.75">
      <c r="A152" s="65"/>
      <c r="B152" s="68"/>
      <c r="H152" s="14"/>
    </row>
    <row r="153" ht="12.75">
      <c r="H153" s="14"/>
    </row>
    <row r="154" spans="1:8" ht="12.75">
      <c r="A154" s="37"/>
      <c r="H154" s="14"/>
    </row>
    <row r="155" spans="1:8" ht="12.75">
      <c r="A155" s="37"/>
      <c r="H155" s="14"/>
    </row>
    <row r="156" spans="1:8" ht="12.75">
      <c r="A156" s="37"/>
      <c r="H156" s="14"/>
    </row>
    <row r="157" spans="1:8" ht="12.75">
      <c r="A157" s="37"/>
      <c r="H157" s="14"/>
    </row>
    <row r="158" spans="1:8" ht="12.75">
      <c r="A158" s="37"/>
      <c r="H158" s="14"/>
    </row>
    <row r="159" spans="1:8" ht="12.75">
      <c r="A159" s="37"/>
      <c r="H159" s="14"/>
    </row>
    <row r="160" spans="1:8" ht="12.75">
      <c r="A160" s="37"/>
      <c r="H160" s="14"/>
    </row>
    <row r="161" spans="3:15" s="3" customFormat="1" ht="12.75">
      <c r="C161" s="39"/>
      <c r="D161" s="39"/>
      <c r="E161" s="39"/>
      <c r="F161" s="39"/>
      <c r="G161" s="39"/>
      <c r="H161" s="42"/>
      <c r="I161" s="39"/>
      <c r="J161" s="39"/>
      <c r="K161" s="39"/>
      <c r="L161" s="39"/>
      <c r="M161" s="39"/>
      <c r="N161" s="39"/>
      <c r="O161" s="39"/>
    </row>
    <row r="162" spans="1:15" s="3" customFormat="1" ht="12.75">
      <c r="A162" s="41"/>
      <c r="B162" s="199"/>
      <c r="C162" s="199"/>
      <c r="D162" s="39"/>
      <c r="E162" s="39"/>
      <c r="F162" s="39"/>
      <c r="G162" s="39"/>
      <c r="H162" s="42"/>
      <c r="I162" s="39"/>
      <c r="J162" s="39"/>
      <c r="K162" s="39"/>
      <c r="L162" s="39"/>
      <c r="M162" s="39"/>
      <c r="N162" s="39"/>
      <c r="O162" s="39"/>
    </row>
    <row r="163" spans="1:3" ht="12.75">
      <c r="A163" s="39"/>
      <c r="B163" s="39"/>
      <c r="C163" s="39"/>
    </row>
    <row r="164" spans="1:15" s="3" customFormat="1" ht="12.75">
      <c r="A164" s="40"/>
      <c r="B164" s="40"/>
      <c r="C164" s="40"/>
      <c r="D164" s="39"/>
      <c r="E164" s="39"/>
      <c r="F164" s="39"/>
      <c r="G164" s="39"/>
      <c r="H164" s="42"/>
      <c r="I164" s="39"/>
      <c r="J164" s="39"/>
      <c r="K164" s="39"/>
      <c r="L164" s="39"/>
      <c r="M164" s="39"/>
      <c r="N164" s="39"/>
      <c r="O164" s="39"/>
    </row>
    <row r="165" spans="1:15" s="3" customFormat="1" ht="12.75">
      <c r="A165" s="41"/>
      <c r="B165" s="40"/>
      <c r="C165" s="40"/>
      <c r="D165" s="39"/>
      <c r="E165" s="39"/>
      <c r="F165" s="39"/>
      <c r="G165" s="39"/>
      <c r="H165" s="42"/>
      <c r="I165" s="39"/>
      <c r="J165" s="39"/>
      <c r="K165" s="39"/>
      <c r="L165" s="39"/>
      <c r="M165" s="39"/>
      <c r="N165" s="39"/>
      <c r="O165" s="39"/>
    </row>
    <row r="166" spans="1:15" s="3" customFormat="1" ht="12.75">
      <c r="A166" s="41"/>
      <c r="B166" s="40"/>
      <c r="C166" s="40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</row>
    <row r="167" spans="1:15" s="3" customFormat="1" ht="12.75">
      <c r="A167" s="41"/>
      <c r="B167" s="40"/>
      <c r="C167" s="40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</row>
    <row r="168" spans="1:15" s="3" customFormat="1" ht="12.75">
      <c r="A168" s="41"/>
      <c r="B168" s="40"/>
      <c r="C168" s="40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</row>
    <row r="169" spans="1:15" s="3" customFormat="1" ht="12.75">
      <c r="A169" s="41"/>
      <c r="B169" s="40"/>
      <c r="C169" s="40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</row>
    <row r="170" spans="1:15" s="3" customFormat="1" ht="12.75">
      <c r="A170" s="41"/>
      <c r="B170" s="40"/>
      <c r="C170" s="40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</row>
    <row r="171" spans="1:15" s="3" customFormat="1" ht="12.75">
      <c r="A171" s="41"/>
      <c r="B171" s="40"/>
      <c r="C171" s="40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</row>
    <row r="172" spans="1:15" s="3" customFormat="1" ht="12.75">
      <c r="A172" s="41"/>
      <c r="B172" s="40"/>
      <c r="C172" s="40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</row>
    <row r="173" spans="1:15" s="3" customFormat="1" ht="12.75">
      <c r="A173" s="41"/>
      <c r="B173" s="40"/>
      <c r="C173" s="40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</row>
    <row r="174" spans="1:15" s="3" customFormat="1" ht="12.75">
      <c r="A174" s="41"/>
      <c r="B174" s="40"/>
      <c r="C174" s="40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</row>
    <row r="175" spans="1:15" s="3" customFormat="1" ht="12.75">
      <c r="A175" s="41"/>
      <c r="B175" s="40"/>
      <c r="C175" s="40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</row>
    <row r="176" spans="1:15" s="3" customFormat="1" ht="12.75">
      <c r="A176" s="41"/>
      <c r="B176" s="40"/>
      <c r="C176" s="40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</row>
    <row r="177" spans="1:15" s="3" customFormat="1" ht="12.75">
      <c r="A177" s="41"/>
      <c r="B177" s="40"/>
      <c r="C177" s="40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</row>
    <row r="178" spans="1:15" s="3" customFormat="1" ht="12.75">
      <c r="A178" s="41"/>
      <c r="B178" s="40"/>
      <c r="C178" s="40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</row>
    <row r="179" spans="1:15" s="3" customFormat="1" ht="12.75">
      <c r="A179" s="41"/>
      <c r="B179" s="40"/>
      <c r="C179" s="40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</row>
    <row r="180" spans="1:15" s="3" customFormat="1" ht="12.75">
      <c r="A180" s="41"/>
      <c r="B180" s="40"/>
      <c r="C180" s="40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</row>
    <row r="181" spans="1:15" s="3" customFormat="1" ht="12.75">
      <c r="A181" s="41"/>
      <c r="B181" s="40"/>
      <c r="C181" s="40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</row>
    <row r="182" spans="1:15" s="3" customFormat="1" ht="12.75">
      <c r="A182" s="41"/>
      <c r="B182" s="40"/>
      <c r="C182" s="40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</row>
    <row r="183" spans="1:15" s="3" customFormat="1" ht="12.75">
      <c r="A183" s="41"/>
      <c r="B183" s="40"/>
      <c r="C183" s="40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</row>
    <row r="184" spans="1:15" s="3" customFormat="1" ht="12.75">
      <c r="A184" s="41"/>
      <c r="B184" s="40"/>
      <c r="C184" s="40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</row>
    <row r="185" spans="1:15" s="3" customFormat="1" ht="12.75">
      <c r="A185" s="41"/>
      <c r="B185" s="40"/>
      <c r="C185" s="40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</row>
    <row r="186" spans="1:15" s="3" customFormat="1" ht="12.75">
      <c r="A186" s="41"/>
      <c r="B186" s="40"/>
      <c r="C186" s="40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</row>
    <row r="187" spans="1:15" s="3" customFormat="1" ht="12.75">
      <c r="A187" s="41"/>
      <c r="B187" s="40"/>
      <c r="C187" s="40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</row>
    <row r="188" spans="1:15" s="3" customFormat="1" ht="12.75">
      <c r="A188" s="41"/>
      <c r="B188" s="40"/>
      <c r="C188" s="40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</row>
    <row r="189" spans="1:15" s="3" customFormat="1" ht="12.75">
      <c r="A189" s="41"/>
      <c r="B189" s="40"/>
      <c r="C189" s="40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</row>
    <row r="190" spans="1:15" s="3" customFormat="1" ht="12.75">
      <c r="A190" s="41"/>
      <c r="B190" s="40"/>
      <c r="C190" s="40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</row>
    <row r="191" spans="1:15" s="3" customFormat="1" ht="12.75">
      <c r="A191" s="41"/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</row>
    <row r="192" spans="1:15" s="3" customFormat="1" ht="12.75">
      <c r="A192" s="41"/>
      <c r="B192" s="39"/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</row>
    <row r="193" spans="1:15" s="45" customFormat="1" ht="12.75">
      <c r="A193" s="43"/>
      <c r="B193" s="44"/>
      <c r="C193" s="44"/>
      <c r="D193" s="44"/>
      <c r="E193" s="44"/>
      <c r="F193" s="44"/>
      <c r="G193" s="44"/>
      <c r="H193" s="44"/>
      <c r="I193" s="44"/>
      <c r="J193" s="44"/>
      <c r="K193" s="44"/>
      <c r="L193" s="44"/>
      <c r="M193" s="42"/>
      <c r="N193" s="42"/>
      <c r="O193" s="42"/>
    </row>
    <row r="194" spans="1:15" s="3" customFormat="1" ht="12.75">
      <c r="A194" s="39"/>
      <c r="B194" s="41"/>
      <c r="C194" s="41"/>
      <c r="D194" s="41"/>
      <c r="E194" s="41"/>
      <c r="F194" s="41"/>
      <c r="G194" s="41"/>
      <c r="H194" s="40"/>
      <c r="I194" s="40"/>
      <c r="J194" s="40"/>
      <c r="K194" s="40"/>
      <c r="L194" s="41"/>
      <c r="M194" s="39"/>
      <c r="N194" s="39"/>
      <c r="O194" s="39"/>
    </row>
    <row r="195" spans="1:15" s="3" customFormat="1" ht="12.75">
      <c r="A195" s="39"/>
      <c r="B195" s="41"/>
      <c r="C195" s="41"/>
      <c r="D195" s="41"/>
      <c r="E195" s="41"/>
      <c r="F195" s="41"/>
      <c r="G195" s="41"/>
      <c r="H195" s="40"/>
      <c r="I195" s="40"/>
      <c r="J195" s="40"/>
      <c r="K195" s="40"/>
      <c r="L195" s="41"/>
      <c r="M195" s="39"/>
      <c r="N195" s="39"/>
      <c r="O195" s="39"/>
    </row>
    <row r="196" spans="1:15" s="3" customFormat="1" ht="12.75">
      <c r="A196" s="39"/>
      <c r="B196" s="41"/>
      <c r="C196" s="41"/>
      <c r="D196" s="41"/>
      <c r="E196" s="41"/>
      <c r="F196" s="41"/>
      <c r="G196" s="41"/>
      <c r="H196" s="40"/>
      <c r="I196" s="40"/>
      <c r="J196" s="40"/>
      <c r="K196" s="40"/>
      <c r="L196" s="41"/>
      <c r="M196" s="39"/>
      <c r="N196" s="39"/>
      <c r="O196" s="39"/>
    </row>
    <row r="197" spans="1:15" s="3" customFormat="1" ht="12.75">
      <c r="A197" s="44"/>
      <c r="B197" s="44"/>
      <c r="C197" s="44"/>
      <c r="D197" s="44"/>
      <c r="E197" s="44"/>
      <c r="F197" s="44"/>
      <c r="G197" s="44"/>
      <c r="H197" s="44"/>
      <c r="I197" s="44"/>
      <c r="J197" s="44"/>
      <c r="K197" s="44"/>
      <c r="L197" s="44"/>
      <c r="M197" s="39"/>
      <c r="N197" s="39"/>
      <c r="O197" s="39"/>
    </row>
    <row r="198" spans="1:15" s="3" customFormat="1" ht="12.75">
      <c r="A198" s="39"/>
      <c r="B198" s="41"/>
      <c r="C198" s="41"/>
      <c r="D198" s="41"/>
      <c r="E198" s="41"/>
      <c r="F198" s="41"/>
      <c r="G198" s="41"/>
      <c r="H198" s="40"/>
      <c r="I198" s="40"/>
      <c r="J198" s="40"/>
      <c r="K198" s="40"/>
      <c r="L198" s="41"/>
      <c r="M198" s="39"/>
      <c r="N198" s="39"/>
      <c r="O198" s="39"/>
    </row>
    <row r="199" spans="1:15" s="3" customFormat="1" ht="12.75">
      <c r="A199" s="39"/>
      <c r="B199" s="41"/>
      <c r="C199" s="41"/>
      <c r="D199" s="41"/>
      <c r="E199" s="41"/>
      <c r="F199" s="41"/>
      <c r="G199" s="41"/>
      <c r="H199" s="40"/>
      <c r="I199" s="40"/>
      <c r="J199" s="40"/>
      <c r="K199" s="40"/>
      <c r="L199" s="41"/>
      <c r="M199" s="39"/>
      <c r="N199" s="39"/>
      <c r="O199" s="39"/>
    </row>
    <row r="200" spans="1:15" s="3" customFormat="1" ht="12.75">
      <c r="A200" s="39"/>
      <c r="B200" s="41"/>
      <c r="C200" s="41"/>
      <c r="D200" s="41"/>
      <c r="E200" s="41"/>
      <c r="F200" s="41"/>
      <c r="G200" s="41"/>
      <c r="H200" s="40"/>
      <c r="I200" s="40"/>
      <c r="J200" s="40"/>
      <c r="K200" s="40"/>
      <c r="L200" s="41"/>
      <c r="M200" s="39"/>
      <c r="N200" s="39"/>
      <c r="O200" s="39"/>
    </row>
    <row r="201" spans="1:15" s="3" customFormat="1" ht="12.75">
      <c r="A201" s="39"/>
      <c r="B201" s="41"/>
      <c r="C201" s="41"/>
      <c r="D201" s="41"/>
      <c r="E201" s="41"/>
      <c r="F201" s="41"/>
      <c r="G201" s="41"/>
      <c r="H201" s="40"/>
      <c r="I201" s="40"/>
      <c r="J201" s="40"/>
      <c r="K201" s="40"/>
      <c r="L201" s="41"/>
      <c r="M201" s="39"/>
      <c r="N201" s="39"/>
      <c r="O201" s="39"/>
    </row>
    <row r="202" spans="1:15" s="3" customFormat="1" ht="12.75">
      <c r="A202" s="39"/>
      <c r="B202" s="41"/>
      <c r="C202" s="41"/>
      <c r="D202" s="41"/>
      <c r="E202" s="41"/>
      <c r="F202" s="41"/>
      <c r="G202" s="41"/>
      <c r="H202" s="40"/>
      <c r="I202" s="40"/>
      <c r="J202" s="40"/>
      <c r="K202" s="40"/>
      <c r="L202" s="41"/>
      <c r="M202" s="39"/>
      <c r="N202" s="39"/>
      <c r="O202" s="39"/>
    </row>
    <row r="203" spans="1:15" s="3" customFormat="1" ht="12.75">
      <c r="A203" s="39"/>
      <c r="B203" s="41"/>
      <c r="C203" s="41"/>
      <c r="D203" s="41"/>
      <c r="E203" s="41"/>
      <c r="F203" s="41"/>
      <c r="G203" s="41"/>
      <c r="H203" s="40"/>
      <c r="I203" s="40"/>
      <c r="J203" s="40"/>
      <c r="K203" s="40"/>
      <c r="L203" s="41"/>
      <c r="M203" s="39"/>
      <c r="N203" s="39"/>
      <c r="O203" s="39"/>
    </row>
    <row r="204" spans="1:15" s="3" customFormat="1" ht="12.75">
      <c r="A204" s="39"/>
      <c r="B204" s="41"/>
      <c r="C204" s="41"/>
      <c r="D204" s="41"/>
      <c r="E204" s="41"/>
      <c r="F204" s="41"/>
      <c r="G204" s="41"/>
      <c r="H204" s="40"/>
      <c r="I204" s="40"/>
      <c r="J204" s="40"/>
      <c r="K204" s="40"/>
      <c r="L204" s="41"/>
      <c r="M204" s="39"/>
      <c r="N204" s="39"/>
      <c r="O204" s="39"/>
    </row>
    <row r="205" spans="1:15" s="3" customFormat="1" ht="12.75">
      <c r="A205" s="39"/>
      <c r="B205" s="41"/>
      <c r="C205" s="41"/>
      <c r="D205" s="41"/>
      <c r="E205" s="41"/>
      <c r="F205" s="41"/>
      <c r="G205" s="41"/>
      <c r="H205" s="40"/>
      <c r="I205" s="40"/>
      <c r="J205" s="40"/>
      <c r="K205" s="40"/>
      <c r="L205" s="41"/>
      <c r="M205" s="39"/>
      <c r="N205" s="39"/>
      <c r="O205" s="39"/>
    </row>
    <row r="206" spans="1:15" s="3" customFormat="1" ht="12.75">
      <c r="A206" s="39"/>
      <c r="B206" s="41"/>
      <c r="C206" s="41"/>
      <c r="D206" s="41"/>
      <c r="E206" s="41"/>
      <c r="F206" s="41"/>
      <c r="G206" s="41"/>
      <c r="H206" s="40"/>
      <c r="I206" s="40"/>
      <c r="J206" s="40"/>
      <c r="K206" s="40"/>
      <c r="L206" s="41"/>
      <c r="M206" s="39"/>
      <c r="N206" s="39"/>
      <c r="O206" s="39"/>
    </row>
    <row r="207" spans="1:15" s="3" customFormat="1" ht="12.75">
      <c r="A207" s="39"/>
      <c r="B207" s="41"/>
      <c r="C207" s="41"/>
      <c r="D207" s="41"/>
      <c r="E207" s="41"/>
      <c r="F207" s="41"/>
      <c r="G207" s="41"/>
      <c r="H207" s="40"/>
      <c r="I207" s="40"/>
      <c r="J207" s="40"/>
      <c r="K207" s="40"/>
      <c r="L207" s="41"/>
      <c r="M207" s="39"/>
      <c r="N207" s="39"/>
      <c r="O207" s="39"/>
    </row>
    <row r="208" spans="1:15" s="3" customFormat="1" ht="12.75">
      <c r="A208" s="39"/>
      <c r="B208" s="41"/>
      <c r="C208" s="41"/>
      <c r="D208" s="41"/>
      <c r="E208" s="41"/>
      <c r="F208" s="41"/>
      <c r="G208" s="41"/>
      <c r="H208" s="40"/>
      <c r="I208" s="40"/>
      <c r="J208" s="40"/>
      <c r="K208" s="40"/>
      <c r="L208" s="41"/>
      <c r="M208" s="39"/>
      <c r="N208" s="39"/>
      <c r="O208" s="39"/>
    </row>
    <row r="209" spans="1:15" s="3" customFormat="1" ht="12.75">
      <c r="A209" s="39"/>
      <c r="B209" s="41"/>
      <c r="C209" s="41"/>
      <c r="D209" s="41"/>
      <c r="E209" s="41"/>
      <c r="F209" s="41"/>
      <c r="G209" s="41"/>
      <c r="H209" s="40"/>
      <c r="I209" s="40"/>
      <c r="J209" s="40"/>
      <c r="K209" s="40"/>
      <c r="L209" s="41"/>
      <c r="M209" s="39"/>
      <c r="N209" s="39"/>
      <c r="O209" s="39"/>
    </row>
    <row r="210" spans="1:15" s="3" customFormat="1" ht="12.75">
      <c r="A210" s="39"/>
      <c r="B210" s="41"/>
      <c r="C210" s="41"/>
      <c r="D210" s="41"/>
      <c r="E210" s="41"/>
      <c r="F210" s="41"/>
      <c r="G210" s="41"/>
      <c r="H210" s="40"/>
      <c r="I210" s="40"/>
      <c r="J210" s="40"/>
      <c r="K210" s="40"/>
      <c r="L210" s="41"/>
      <c r="M210" s="39"/>
      <c r="N210" s="39"/>
      <c r="O210" s="39"/>
    </row>
    <row r="211" spans="1:15" s="3" customFormat="1" ht="12.75">
      <c r="A211" s="39"/>
      <c r="B211" s="41"/>
      <c r="C211" s="41"/>
      <c r="D211" s="41"/>
      <c r="E211" s="41"/>
      <c r="F211" s="41"/>
      <c r="G211" s="41"/>
      <c r="H211" s="40"/>
      <c r="I211" s="40"/>
      <c r="J211" s="40"/>
      <c r="K211" s="40"/>
      <c r="L211" s="41"/>
      <c r="M211" s="39"/>
      <c r="N211" s="39"/>
      <c r="O211" s="39"/>
    </row>
    <row r="212" spans="1:15" s="3" customFormat="1" ht="12.75">
      <c r="A212" s="39"/>
      <c r="B212" s="41"/>
      <c r="C212" s="41"/>
      <c r="D212" s="41"/>
      <c r="E212" s="41"/>
      <c r="F212" s="41"/>
      <c r="G212" s="41"/>
      <c r="H212" s="40"/>
      <c r="I212" s="40"/>
      <c r="J212" s="40"/>
      <c r="K212" s="40"/>
      <c r="L212" s="41"/>
      <c r="M212" s="39"/>
      <c r="N212" s="39"/>
      <c r="O212" s="39"/>
    </row>
    <row r="213" spans="1:15" s="3" customFormat="1" ht="12.75">
      <c r="A213" s="39"/>
      <c r="B213" s="39"/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</row>
    <row r="214" spans="1:15" s="3" customFormat="1" ht="12.75">
      <c r="A214" s="39"/>
      <c r="B214" s="39"/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</row>
    <row r="215" spans="1:15" s="3" customFormat="1" ht="12.75">
      <c r="A215" s="39"/>
      <c r="B215" s="39"/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</row>
    <row r="216" spans="1:15" s="3" customFormat="1" ht="12.75">
      <c r="A216" s="39"/>
      <c r="B216" s="39"/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</row>
    <row r="217" spans="1:15" s="3" customFormat="1" ht="12.75">
      <c r="A217" s="39"/>
      <c r="B217" s="39"/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</row>
    <row r="218" spans="1:15" s="3" customFormat="1" ht="12.75">
      <c r="A218" s="39"/>
      <c r="B218" s="39"/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</row>
    <row r="219" spans="1:15" s="3" customFormat="1" ht="12.75">
      <c r="A219" s="39"/>
      <c r="B219" s="39"/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</row>
    <row r="220" spans="1:15" s="3" customFormat="1" ht="12.75">
      <c r="A220" s="39"/>
      <c r="B220" s="39"/>
      <c r="C220" s="39"/>
      <c r="D220" s="39"/>
      <c r="M220" s="39"/>
      <c r="N220" s="39"/>
      <c r="O220" s="39"/>
    </row>
    <row r="221" spans="1:15" s="3" customFormat="1" ht="12.75">
      <c r="A221" s="39"/>
      <c r="B221" s="39"/>
      <c r="C221" s="39"/>
      <c r="D221" s="39"/>
      <c r="M221" s="39"/>
      <c r="N221" s="39"/>
      <c r="O221" s="39"/>
    </row>
    <row r="222" spans="1:15" s="3" customFormat="1" ht="12.75">
      <c r="A222" s="39"/>
      <c r="B222" s="39"/>
      <c r="C222" s="39"/>
      <c r="D222" s="39"/>
      <c r="M222" s="39"/>
      <c r="N222" s="39"/>
      <c r="O222" s="39"/>
    </row>
    <row r="223" spans="1:15" s="3" customFormat="1" ht="12.75">
      <c r="A223" s="39"/>
      <c r="B223" s="39"/>
      <c r="C223" s="39"/>
      <c r="D223" s="39"/>
      <c r="M223" s="39"/>
      <c r="N223" s="39"/>
      <c r="O223" s="39"/>
    </row>
    <row r="224" spans="1:15" s="3" customFormat="1" ht="12.75">
      <c r="A224" s="39"/>
      <c r="B224" s="39"/>
      <c r="C224" s="39"/>
      <c r="D224" s="39"/>
      <c r="M224" s="39"/>
      <c r="N224" s="39"/>
      <c r="O224" s="39"/>
    </row>
    <row r="225" spans="1:15" s="3" customFormat="1" ht="12.75">
      <c r="A225" s="39"/>
      <c r="B225" s="39"/>
      <c r="C225" s="39"/>
      <c r="D225" s="39"/>
      <c r="M225" s="39"/>
      <c r="N225" s="39"/>
      <c r="O225" s="39"/>
    </row>
    <row r="226" spans="1:15" s="3" customFormat="1" ht="12.75">
      <c r="A226" s="39"/>
      <c r="B226" s="39"/>
      <c r="C226" s="39"/>
      <c r="D226" s="39"/>
      <c r="M226" s="39"/>
      <c r="N226" s="39"/>
      <c r="O226" s="39"/>
    </row>
    <row r="227" spans="1:15" s="3" customFormat="1" ht="12.75">
      <c r="A227" s="39"/>
      <c r="B227" s="39"/>
      <c r="C227" s="39"/>
      <c r="D227" s="39"/>
      <c r="M227" s="39"/>
      <c r="N227" s="39"/>
      <c r="O227" s="39"/>
    </row>
    <row r="228" spans="1:15" s="3" customFormat="1" ht="12.75">
      <c r="A228" s="39"/>
      <c r="B228" s="39"/>
      <c r="C228" s="39"/>
      <c r="D228" s="39"/>
      <c r="M228" s="39"/>
      <c r="N228" s="39"/>
      <c r="O228" s="39"/>
    </row>
    <row r="229" spans="1:15" s="3" customFormat="1" ht="12.75">
      <c r="A229" s="39"/>
      <c r="B229" s="39"/>
      <c r="C229" s="39"/>
      <c r="D229" s="39"/>
      <c r="M229" s="39"/>
      <c r="N229" s="39"/>
      <c r="O229" s="39"/>
    </row>
    <row r="230" spans="1:15" s="3" customFormat="1" ht="12.75">
      <c r="A230" s="39"/>
      <c r="B230" s="39"/>
      <c r="C230" s="39"/>
      <c r="D230" s="39"/>
      <c r="M230" s="39"/>
      <c r="N230" s="39"/>
      <c r="O230" s="39"/>
    </row>
    <row r="231" spans="1:15" s="3" customFormat="1" ht="12.75">
      <c r="A231" s="39"/>
      <c r="B231" s="39"/>
      <c r="C231" s="39"/>
      <c r="D231" s="39"/>
      <c r="M231" s="39"/>
      <c r="N231" s="39"/>
      <c r="O231" s="39"/>
    </row>
    <row r="232" spans="1:15" s="3" customFormat="1" ht="12.75">
      <c r="A232" s="39"/>
      <c r="B232" s="39"/>
      <c r="C232" s="39"/>
      <c r="D232" s="39"/>
      <c r="M232" s="39"/>
      <c r="N232" s="39"/>
      <c r="O232" s="39"/>
    </row>
    <row r="233" s="3" customFormat="1" ht="12.75"/>
    <row r="234" s="3" customFormat="1" ht="12.75"/>
    <row r="235" s="3" customFormat="1" ht="12.75"/>
    <row r="236" s="3" customFormat="1" ht="12.75"/>
    <row r="237" s="3" customFormat="1" ht="12.75"/>
  </sheetData>
  <sheetProtection selectLockedCells="1" selectUnlockedCells="1"/>
  <mergeCells count="77">
    <mergeCell ref="H15:I15"/>
    <mergeCell ref="B8:C8"/>
    <mergeCell ref="D8:E8"/>
    <mergeCell ref="F8:G8"/>
    <mergeCell ref="H5:I5"/>
    <mergeCell ref="B6:C6"/>
    <mergeCell ref="D6:E6"/>
    <mergeCell ref="F6:G6"/>
    <mergeCell ref="H6:I6"/>
    <mergeCell ref="B9:C9"/>
    <mergeCell ref="B10:C10"/>
    <mergeCell ref="D9:E9"/>
    <mergeCell ref="F9:G9"/>
    <mergeCell ref="H9:I9"/>
    <mergeCell ref="F10:G10"/>
    <mergeCell ref="H10:I10"/>
    <mergeCell ref="A92:I92"/>
    <mergeCell ref="D20:I20"/>
    <mergeCell ref="B24:C24"/>
    <mergeCell ref="D24:E24"/>
    <mergeCell ref="F24:G24"/>
    <mergeCell ref="H24:I24"/>
    <mergeCell ref="B20:C20"/>
    <mergeCell ref="A90:I90"/>
    <mergeCell ref="A91:I91"/>
    <mergeCell ref="D42:E42"/>
    <mergeCell ref="B42:C42"/>
    <mergeCell ref="F42:G42"/>
    <mergeCell ref="H42:I42"/>
    <mergeCell ref="D10:E10"/>
    <mergeCell ref="J24:M24"/>
    <mergeCell ref="A24:A25"/>
    <mergeCell ref="D11:E11"/>
    <mergeCell ref="B12:C12"/>
    <mergeCell ref="F14:G14"/>
    <mergeCell ref="H14:I14"/>
    <mergeCell ref="A18:C18"/>
    <mergeCell ref="B14:C14"/>
    <mergeCell ref="D14:E14"/>
    <mergeCell ref="B13:C13"/>
    <mergeCell ref="D13:E13"/>
    <mergeCell ref="F11:G11"/>
    <mergeCell ref="H11:I11"/>
    <mergeCell ref="B15:C15"/>
    <mergeCell ref="D15:E15"/>
    <mergeCell ref="F15:G15"/>
    <mergeCell ref="B162:C162"/>
    <mergeCell ref="F13:G13"/>
    <mergeCell ref="H13:I13"/>
    <mergeCell ref="A111:I130"/>
    <mergeCell ref="B21:C21"/>
    <mergeCell ref="A95:I96"/>
    <mergeCell ref="A19:C19"/>
    <mergeCell ref="A109:I110"/>
    <mergeCell ref="A97:I99"/>
    <mergeCell ref="A100:I101"/>
    <mergeCell ref="A108:I108"/>
    <mergeCell ref="A102:I105"/>
    <mergeCell ref="A106:I107"/>
    <mergeCell ref="A93:I93"/>
    <mergeCell ref="A94:I94"/>
    <mergeCell ref="A4:A5"/>
    <mergeCell ref="A1:D1"/>
    <mergeCell ref="D12:E12"/>
    <mergeCell ref="F12:G12"/>
    <mergeCell ref="H12:I12"/>
    <mergeCell ref="A2:I2"/>
    <mergeCell ref="B7:C7"/>
    <mergeCell ref="D7:E7"/>
    <mergeCell ref="F7:G7"/>
    <mergeCell ref="H7:I7"/>
    <mergeCell ref="B4:I4"/>
    <mergeCell ref="B5:C5"/>
    <mergeCell ref="D5:E5"/>
    <mergeCell ref="F5:G5"/>
    <mergeCell ref="H8:I8"/>
    <mergeCell ref="B11:C11"/>
  </mergeCells>
  <dataValidations count="21">
    <dataValidation type="decimal" operator="lessThanOrEqual" allowBlank="1" showInputMessage="1" showErrorMessage="1" sqref="H7 B7 D7 F7">
      <formula1>3</formula1>
    </dataValidation>
    <dataValidation type="list" allowBlank="1" showInputMessage="1" showErrorMessage="1" sqref="B6">
      <formula1>MRGOJ</formula1>
    </dataValidation>
    <dataValidation type="list" allowBlank="1" showInputMessage="1" showErrorMessage="1" sqref="D6">
      <formula1>JJEDD</formula1>
    </dataValidation>
    <dataValidation type="list" allowBlank="1" showInputMessage="1" showErrorMessage="1" sqref="F6">
      <formula1>YAWAO</formula1>
    </dataValidation>
    <dataValidation type="list" allowBlank="1" showInputMessage="1" showErrorMessage="1" sqref="H6">
      <formula1>IQDLQ</formula1>
    </dataValidation>
    <dataValidation type="list" allowBlank="1" showInputMessage="1" showErrorMessage="1" sqref="B11 D11 F11 H11">
      <formula1>"да, нет"</formula1>
    </dataValidation>
    <dataValidation type="list" allowBlank="1" showInputMessage="1" showErrorMessage="1" sqref="B12:C12">
      <formula1>GQIBE</formula1>
    </dataValidation>
    <dataValidation type="list" allowBlank="1" showInputMessage="1" showErrorMessage="1" sqref="D12:E12">
      <formula1>PSAXR</formula1>
    </dataValidation>
    <dataValidation type="list" allowBlank="1" showInputMessage="1" showErrorMessage="1" sqref="F12:G12">
      <formula1>TAYYL</formula1>
    </dataValidation>
    <dataValidation type="list" allowBlank="1" showInputMessage="1" showErrorMessage="1" sqref="H12:I12">
      <formula1>OGGLT</formula1>
    </dataValidation>
    <dataValidation type="list" allowBlank="1" showInputMessage="1" showErrorMessage="1" sqref="B13:C13">
      <formula1>QPAFE</formula1>
    </dataValidation>
    <dataValidation type="list" allowBlank="1" showInputMessage="1" showErrorMessage="1" sqref="D13:E13">
      <formula1>VNIHD</formula1>
    </dataValidation>
    <dataValidation type="list" allowBlank="1" showInputMessage="1" showErrorMessage="1" sqref="F13:G13">
      <formula1>FIGQB</formula1>
    </dataValidation>
    <dataValidation type="list" allowBlank="1" showInputMessage="1" showErrorMessage="1" sqref="H13:I13">
      <formula1>WHMSA</formula1>
    </dataValidation>
    <dataValidation type="list" allowBlank="1" showInputMessage="1" showErrorMessage="1" sqref="A19:C19">
      <formula1>XLPKA</formula1>
    </dataValidation>
    <dataValidation type="list" allowBlank="1" showInputMessage="1" showErrorMessage="1" sqref="B14:C14">
      <formula1>BTYPS</formula1>
    </dataValidation>
    <dataValidation type="list" allowBlank="1" showInputMessage="1" showErrorMessage="1" sqref="D14:E14">
      <formula1>MUGNQ</formula1>
    </dataValidation>
    <dataValidation type="list" allowBlank="1" showInputMessage="1" showErrorMessage="1" sqref="F14:G14">
      <formula1>IANCJ</formula1>
    </dataValidation>
    <dataValidation type="list" allowBlank="1" showInputMessage="1" showErrorMessage="1" sqref="H14:I14">
      <formula1>CEXUI</formula1>
    </dataValidation>
    <dataValidation type="list" allowBlank="1" showInputMessage="1" showErrorMessage="1" sqref="A18:C18">
      <formula1>"Российская Федерация, Республика Беларусь"</formula1>
    </dataValidation>
    <dataValidation type="list" allowBlank="1" showInputMessage="1" showErrorMessage="1" sqref="B15:I15">
      <formula1>MilType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2" fitToWidth="1" horizontalDpi="300" verticalDpi="300" orientation="portrait" paperSize="9" scale="59" r:id="rId2"/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CC00"/>
    <pageSetUpPr fitToPage="1"/>
  </sheetPr>
  <dimension ref="A1:AK229"/>
  <sheetViews>
    <sheetView zoomScale="75" zoomScaleNormal="75" zoomScaleSheetLayoutView="50" zoomScalePageLayoutView="55" workbookViewId="0" topLeftCell="A1">
      <pane ySplit="15" topLeftCell="A16" activePane="bottomLeft" state="frozen"/>
      <selection pane="topLeft" activeCell="A2" sqref="A2:I2"/>
      <selection pane="bottomLeft" activeCell="A2" sqref="A2:I2"/>
    </sheetView>
  </sheetViews>
  <sheetFormatPr defaultColWidth="9.140625" defaultRowHeight="15"/>
  <cols>
    <col min="1" max="1" width="55.7109375" style="2" customWidth="1"/>
    <col min="2" max="2" width="14.00390625" style="2" customWidth="1"/>
    <col min="3" max="3" width="13.140625" style="2" customWidth="1"/>
    <col min="4" max="4" width="15.57421875" style="2" customWidth="1"/>
    <col min="5" max="6" width="14.421875" style="2" customWidth="1"/>
    <col min="7" max="7" width="12.57421875" style="2" customWidth="1"/>
    <col min="8" max="8" width="13.57421875" style="2" customWidth="1"/>
    <col min="9" max="9" width="14.8515625" style="2" customWidth="1"/>
    <col min="10" max="10" width="14.140625" style="2" hidden="1" customWidth="1"/>
    <col min="11" max="11" width="14.00390625" style="2" hidden="1" customWidth="1"/>
    <col min="12" max="13" width="13.7109375" style="2" hidden="1" customWidth="1"/>
    <col min="14" max="14" width="25.28125" style="2" customWidth="1"/>
    <col min="15" max="15" width="15.421875" style="2" customWidth="1"/>
    <col min="16" max="16" width="9.00390625" style="2" customWidth="1"/>
    <col min="17" max="17" width="13.8515625" style="2" customWidth="1"/>
    <col min="18" max="18" width="10.8515625" style="2" customWidth="1"/>
    <col min="19" max="16384" width="9.140625" style="2" customWidth="1"/>
  </cols>
  <sheetData>
    <row r="1" spans="1:9" ht="12.75">
      <c r="A1" s="190"/>
      <c r="B1" s="190"/>
      <c r="C1" s="190"/>
      <c r="D1" s="190"/>
      <c r="E1" s="1"/>
      <c r="F1" s="1"/>
      <c r="H1" s="70" t="s">
        <v>230</v>
      </c>
      <c r="I1" s="4">
        <v>45131</v>
      </c>
    </row>
    <row r="2" spans="1:15" ht="27" customHeight="1" thickBot="1">
      <c r="A2" s="193" t="s">
        <v>250</v>
      </c>
      <c r="B2" s="193"/>
      <c r="C2" s="193"/>
      <c r="D2" s="193"/>
      <c r="E2" s="193"/>
      <c r="F2" s="193"/>
      <c r="G2" s="193"/>
      <c r="H2" s="193"/>
      <c r="I2" s="193"/>
      <c r="J2" s="73"/>
      <c r="K2" s="70"/>
      <c r="L2" s="70"/>
      <c r="O2" s="4"/>
    </row>
    <row r="3" spans="1:15" ht="16.5" customHeight="1">
      <c r="A3" s="5"/>
      <c r="B3" s="6"/>
      <c r="H3" s="7"/>
      <c r="I3" s="7"/>
      <c r="K3" s="8"/>
      <c r="L3" s="8"/>
      <c r="M3" s="8"/>
      <c r="N3" s="9"/>
      <c r="O3" s="9"/>
    </row>
    <row r="4" spans="1:15" ht="16.5" customHeight="1">
      <c r="A4" s="189" t="s">
        <v>251</v>
      </c>
      <c r="B4" s="195" t="s">
        <v>65</v>
      </c>
      <c r="C4" s="195"/>
      <c r="D4" s="195"/>
      <c r="E4" s="195"/>
      <c r="F4" s="195"/>
      <c r="G4" s="195"/>
      <c r="H4" s="195"/>
      <c r="I4" s="195"/>
      <c r="K4" s="8"/>
      <c r="L4" s="8"/>
      <c r="M4" s="8"/>
      <c r="N4" s="9"/>
      <c r="O4" s="9"/>
    </row>
    <row r="5" spans="1:15" ht="16.5" customHeight="1">
      <c r="A5" s="189"/>
      <c r="B5" s="196" t="s">
        <v>71</v>
      </c>
      <c r="C5" s="196"/>
      <c r="D5" s="196" t="s">
        <v>72</v>
      </c>
      <c r="E5" s="196"/>
      <c r="F5" s="196" t="s">
        <v>73</v>
      </c>
      <c r="G5" s="196"/>
      <c r="H5" s="196" t="s">
        <v>74</v>
      </c>
      <c r="I5" s="196"/>
      <c r="N5" s="9"/>
      <c r="O5" s="9"/>
    </row>
    <row r="6" spans="1:15" ht="16.5" customHeight="1">
      <c r="A6" s="96" t="s">
        <v>231</v>
      </c>
      <c r="B6" s="194">
        <v>0</v>
      </c>
      <c r="C6" s="194"/>
      <c r="D6" s="194">
        <v>0</v>
      </c>
      <c r="E6" s="194"/>
      <c r="F6" s="194">
        <v>0</v>
      </c>
      <c r="G6" s="194"/>
      <c r="H6" s="194">
        <v>0</v>
      </c>
      <c r="I6" s="194"/>
      <c r="N6" s="6" t="s">
        <v>234</v>
      </c>
      <c r="O6" s="9"/>
    </row>
    <row r="7" spans="1:15" ht="16.5" customHeight="1">
      <c r="A7" s="96" t="s">
        <v>80</v>
      </c>
      <c r="B7" s="194">
        <v>0</v>
      </c>
      <c r="C7" s="194"/>
      <c r="D7" s="194">
        <v>0</v>
      </c>
      <c r="E7" s="194"/>
      <c r="F7" s="194">
        <v>0</v>
      </c>
      <c r="G7" s="194"/>
      <c r="H7" s="194">
        <v>0</v>
      </c>
      <c r="I7" s="194"/>
      <c r="N7" s="6" t="s">
        <v>236</v>
      </c>
      <c r="O7" s="9"/>
    </row>
    <row r="8" spans="1:15" ht="16.5" customHeight="1">
      <c r="A8" s="96" t="s">
        <v>83</v>
      </c>
      <c r="B8" s="194">
        <v>0</v>
      </c>
      <c r="C8" s="194"/>
      <c r="D8" s="194">
        <v>0</v>
      </c>
      <c r="E8" s="194"/>
      <c r="F8" s="194">
        <v>0</v>
      </c>
      <c r="G8" s="194"/>
      <c r="H8" s="194">
        <v>0</v>
      </c>
      <c r="I8" s="194"/>
      <c r="N8" s="6" t="s">
        <v>237</v>
      </c>
      <c r="O8" s="9"/>
    </row>
    <row r="9" spans="1:15" ht="16.5" customHeight="1">
      <c r="A9" s="97" t="s">
        <v>85</v>
      </c>
      <c r="B9" s="194">
        <v>0</v>
      </c>
      <c r="C9" s="194"/>
      <c r="D9" s="194">
        <v>0</v>
      </c>
      <c r="E9" s="194"/>
      <c r="F9" s="194">
        <v>0</v>
      </c>
      <c r="G9" s="194"/>
      <c r="H9" s="194">
        <v>0</v>
      </c>
      <c r="I9" s="194"/>
      <c r="N9" s="6" t="s">
        <v>237</v>
      </c>
      <c r="O9" s="9"/>
    </row>
    <row r="10" spans="1:15" ht="16.5" customHeight="1">
      <c r="A10" s="97" t="s">
        <v>312</v>
      </c>
      <c r="B10" s="194">
        <v>0</v>
      </c>
      <c r="C10" s="194"/>
      <c r="D10" s="194">
        <v>0</v>
      </c>
      <c r="E10" s="194"/>
      <c r="F10" s="194">
        <v>0</v>
      </c>
      <c r="G10" s="194"/>
      <c r="H10" s="194">
        <v>0</v>
      </c>
      <c r="I10" s="194"/>
      <c r="N10" s="6" t="s">
        <v>237</v>
      </c>
      <c r="O10" s="9"/>
    </row>
    <row r="11" spans="1:15" ht="16.5" customHeight="1">
      <c r="A11" s="96" t="s">
        <v>90</v>
      </c>
      <c r="B11" s="194" t="s">
        <v>91</v>
      </c>
      <c r="C11" s="194"/>
      <c r="D11" s="194" t="s">
        <v>91</v>
      </c>
      <c r="E11" s="194"/>
      <c r="F11" s="194" t="s">
        <v>91</v>
      </c>
      <c r="G11" s="194"/>
      <c r="H11" s="194" t="s">
        <v>91</v>
      </c>
      <c r="I11" s="194"/>
      <c r="N11" s="6" t="s">
        <v>234</v>
      </c>
      <c r="O11" s="9"/>
    </row>
    <row r="12" spans="1:15" ht="16.5" customHeight="1">
      <c r="A12" s="96" t="s">
        <v>254</v>
      </c>
      <c r="B12" s="191" t="s">
        <v>91</v>
      </c>
      <c r="C12" s="192"/>
      <c r="D12" s="191" t="s">
        <v>91</v>
      </c>
      <c r="E12" s="192"/>
      <c r="F12" s="191" t="s">
        <v>91</v>
      </c>
      <c r="G12" s="192"/>
      <c r="H12" s="191" t="s">
        <v>91</v>
      </c>
      <c r="I12" s="192"/>
      <c r="N12" s="6" t="s">
        <v>234</v>
      </c>
      <c r="O12" s="9"/>
    </row>
    <row r="13" spans="1:15" ht="21.75" customHeight="1">
      <c r="A13" s="96" t="s">
        <v>255</v>
      </c>
      <c r="B13" s="197" t="s">
        <v>91</v>
      </c>
      <c r="C13" s="198"/>
      <c r="D13" s="197" t="s">
        <v>91</v>
      </c>
      <c r="E13" s="198"/>
      <c r="F13" s="197" t="s">
        <v>91</v>
      </c>
      <c r="G13" s="198"/>
      <c r="H13" s="197" t="s">
        <v>91</v>
      </c>
      <c r="I13" s="198"/>
      <c r="N13" s="6" t="s">
        <v>234</v>
      </c>
      <c r="O13" s="9"/>
    </row>
    <row r="14" spans="1:15" ht="15.75" customHeight="1">
      <c r="A14" s="96" t="s">
        <v>285</v>
      </c>
      <c r="B14" s="197" t="s">
        <v>28</v>
      </c>
      <c r="C14" s="198"/>
      <c r="D14" s="197" t="s">
        <v>28</v>
      </c>
      <c r="E14" s="198"/>
      <c r="F14" s="197" t="s">
        <v>28</v>
      </c>
      <c r="G14" s="198"/>
      <c r="H14" s="197" t="s">
        <v>28</v>
      </c>
      <c r="I14" s="198"/>
      <c r="N14" s="6" t="s">
        <v>234</v>
      </c>
      <c r="O14" s="9"/>
    </row>
    <row r="15" spans="1:15" ht="30" customHeight="1">
      <c r="A15" s="96" t="s">
        <v>360</v>
      </c>
      <c r="B15" s="229" t="s">
        <v>91</v>
      </c>
      <c r="C15" s="230"/>
      <c r="D15" s="229" t="s">
        <v>91</v>
      </c>
      <c r="E15" s="230"/>
      <c r="F15" s="229" t="s">
        <v>91</v>
      </c>
      <c r="G15" s="230"/>
      <c r="H15" s="229" t="s">
        <v>91</v>
      </c>
      <c r="I15" s="230"/>
      <c r="N15" s="6" t="s">
        <v>234</v>
      </c>
      <c r="O15" s="9"/>
    </row>
    <row r="16" spans="8:15" ht="16.5" customHeight="1">
      <c r="H16" s="7"/>
      <c r="I16" s="7"/>
      <c r="K16" s="8"/>
      <c r="L16" s="8"/>
      <c r="M16" s="8"/>
      <c r="N16" s="9"/>
      <c r="O16" s="9"/>
    </row>
    <row r="17" spans="1:15" ht="16.5" customHeight="1">
      <c r="A17" s="203" t="s">
        <v>345</v>
      </c>
      <c r="B17" s="203"/>
      <c r="C17" s="203"/>
      <c r="D17" s="6" t="s">
        <v>346</v>
      </c>
      <c r="H17" s="7"/>
      <c r="I17" s="7"/>
      <c r="K17" s="8"/>
      <c r="L17" s="8"/>
      <c r="M17" s="8"/>
      <c r="N17" s="9"/>
      <c r="O17" s="9"/>
    </row>
    <row r="18" spans="1:15" ht="21.75" customHeight="1">
      <c r="A18" s="203" t="s">
        <v>235</v>
      </c>
      <c r="B18" s="203"/>
      <c r="C18" s="203"/>
      <c r="D18" s="6" t="s">
        <v>240</v>
      </c>
      <c r="H18" s="7"/>
      <c r="I18" s="7"/>
      <c r="K18" s="8"/>
      <c r="L18" s="8"/>
      <c r="M18" s="8"/>
      <c r="N18" s="9"/>
      <c r="O18" s="9"/>
    </row>
    <row r="19" spans="1:15" ht="56.25" customHeight="1">
      <c r="A19" s="47" t="s">
        <v>261</v>
      </c>
      <c r="B19" s="223">
        <f>IF(A17="Республика Беларусь",(J80+K80+L80+M80)*Belarus,J80+K80+L80+M80)</f>
        <v>0</v>
      </c>
      <c r="C19" s="223"/>
      <c r="D19" s="218" t="s">
        <v>325</v>
      </c>
      <c r="E19" s="219"/>
      <c r="F19" s="219"/>
      <c r="G19" s="219"/>
      <c r="H19" s="219"/>
      <c r="I19" s="219"/>
      <c r="K19" s="8"/>
      <c r="L19" s="8"/>
      <c r="M19" s="8"/>
      <c r="N19" s="9"/>
      <c r="O19" s="9"/>
    </row>
    <row r="20" spans="1:15" ht="16.5" customHeight="1">
      <c r="A20" s="67" t="s">
        <v>260</v>
      </c>
      <c r="B20" s="201">
        <f>IF(OR(B8=0,B7=0),0,B19/(B8*B7+D8*D7+F8*F7+H8*H7))</f>
        <v>0</v>
      </c>
      <c r="C20" s="201"/>
      <c r="H20" s="7"/>
      <c r="I20" s="7"/>
      <c r="K20" s="8"/>
      <c r="L20" s="8"/>
      <c r="M20" s="8"/>
      <c r="N20" s="9"/>
      <c r="O20" s="9"/>
    </row>
    <row r="21" spans="1:15" ht="16.5" customHeight="1">
      <c r="A21" s="6" t="s">
        <v>258</v>
      </c>
      <c r="B21" s="6"/>
      <c r="H21" s="7"/>
      <c r="I21" s="7"/>
      <c r="K21" s="8"/>
      <c r="L21" s="8"/>
      <c r="M21" s="8"/>
      <c r="N21" s="9"/>
      <c r="O21" s="9"/>
    </row>
    <row r="22" spans="1:15" ht="16.5" customHeight="1">
      <c r="A22" s="5"/>
      <c r="B22" s="6"/>
      <c r="H22" s="7"/>
      <c r="I22" s="7"/>
      <c r="K22" s="8"/>
      <c r="L22" s="8"/>
      <c r="M22" s="8"/>
      <c r="N22" s="9"/>
      <c r="O22" s="9"/>
    </row>
    <row r="23" spans="1:15" ht="16.5" customHeight="1">
      <c r="A23" s="195" t="s">
        <v>256</v>
      </c>
      <c r="B23" s="220" t="s">
        <v>2</v>
      </c>
      <c r="C23" s="221"/>
      <c r="D23" s="221" t="s">
        <v>3</v>
      </c>
      <c r="E23" s="221"/>
      <c r="F23" s="221" t="s">
        <v>4</v>
      </c>
      <c r="G23" s="221"/>
      <c r="H23" s="221" t="s">
        <v>5</v>
      </c>
      <c r="I23" s="222"/>
      <c r="J23" s="217" t="s">
        <v>6</v>
      </c>
      <c r="K23" s="217"/>
      <c r="L23" s="217"/>
      <c r="M23" s="217"/>
      <c r="O23" s="9"/>
    </row>
    <row r="24" spans="1:15" ht="16.5" customHeight="1">
      <c r="A24" s="195"/>
      <c r="B24" s="98" t="s">
        <v>15</v>
      </c>
      <c r="C24" s="99" t="s">
        <v>16</v>
      </c>
      <c r="D24" s="100" t="s">
        <v>15</v>
      </c>
      <c r="E24" s="99" t="s">
        <v>16</v>
      </c>
      <c r="F24" s="100" t="s">
        <v>15</v>
      </c>
      <c r="G24" s="99" t="s">
        <v>16</v>
      </c>
      <c r="H24" s="100" t="s">
        <v>15</v>
      </c>
      <c r="I24" s="98" t="s">
        <v>16</v>
      </c>
      <c r="J24" s="74">
        <v>1</v>
      </c>
      <c r="K24" s="74">
        <v>2</v>
      </c>
      <c r="L24" s="74">
        <v>3</v>
      </c>
      <c r="M24" s="74">
        <v>4</v>
      </c>
      <c r="O24" s="9"/>
    </row>
    <row r="25" spans="1:15" ht="16.5" customHeight="1">
      <c r="A25" s="101" t="s">
        <v>155</v>
      </c>
      <c r="B25" s="101"/>
      <c r="C25" s="102"/>
      <c r="D25" s="103"/>
      <c r="E25" s="104"/>
      <c r="F25" s="103"/>
      <c r="G25" s="104"/>
      <c r="H25" s="103"/>
      <c r="I25" s="105"/>
      <c r="J25" s="75"/>
      <c r="K25" s="75"/>
      <c r="L25" s="75"/>
      <c r="M25" s="75"/>
      <c r="O25" s="9"/>
    </row>
    <row r="26" spans="1:15" ht="16.5" customHeight="1">
      <c r="A26" s="67" t="s">
        <v>257</v>
      </c>
      <c r="B26" s="78">
        <f>IF(B7=0,0,B7-0.01)</f>
        <v>0</v>
      </c>
      <c r="C26" s="79">
        <f>IF(B26=0,0,B8*VLOOKUP(B6,Данные!$B$5:$C$31,2,FALSE))</f>
        <v>0</v>
      </c>
      <c r="D26" s="78">
        <f>IF(D7=0,0,D7-0.01)</f>
        <v>0</v>
      </c>
      <c r="E26" s="79">
        <f>IF(D26=0,0,D8*VLOOKUP(D6,Данные!$B$5:$C$31,2,FALSE))</f>
        <v>0</v>
      </c>
      <c r="F26" s="78">
        <f>IF(F7=0,0,F7-0.01)</f>
        <v>0</v>
      </c>
      <c r="G26" s="79">
        <f>IF(F26=0,0,F8*VLOOKUP(F6,Данные!$B$5:$C$31,2,FALSE))</f>
        <v>0</v>
      </c>
      <c r="H26" s="80">
        <f>IF(H7=0,0,H7-0.01)</f>
        <v>0</v>
      </c>
      <c r="I26" s="81">
        <f>IF(H26=0,0,H8*VLOOKUP(H6,Данные!$B$5:$C$31,2,FALSE))</f>
        <v>0</v>
      </c>
      <c r="J26" s="76">
        <f>IF(C26=0,0,VLOOKUP($A$18,'Цены Жалюзи'!$B$37:$R$61,3,FALSE)*B26*C26)</f>
        <v>0</v>
      </c>
      <c r="K26" s="76">
        <f>IF(E26=0,0,VLOOKUP($A$18,'Цены Жалюзи'!$B$37:$R$61,3,FALSE)*D26*E26)</f>
        <v>0</v>
      </c>
      <c r="L26" s="76">
        <f>IF(G26=0,0,VLOOKUP($A$18,'Цены Жалюзи'!$B$37:$R$61,3,FALSE)*F26*G26)</f>
        <v>0</v>
      </c>
      <c r="M26" s="76">
        <f>IF(I26=0,0,VLOOKUP($A$18,'Цены Жалюзи'!$B$37:$R$61,3,FALSE)*H26*I26)</f>
        <v>0</v>
      </c>
      <c r="O26" s="9"/>
    </row>
    <row r="27" spans="1:15" ht="16.5" customHeight="1">
      <c r="A27" s="67" t="s">
        <v>7</v>
      </c>
      <c r="B27" s="78">
        <f>IF(AND(B6&gt;0,B11="да"),0,B6)</f>
        <v>0</v>
      </c>
      <c r="C27" s="79">
        <f>IF(B27=0,0,IF(B8=0,0,IF(B8=1,2*2,IF(B10=0,(B8+1)*2-C28,(B8+1+B10)*2-C28))))</f>
        <v>0</v>
      </c>
      <c r="D27" s="78">
        <f>IF(AND(D6&gt;0,D11="да"),0,D6)</f>
        <v>0</v>
      </c>
      <c r="E27" s="79">
        <f>IF(D27=0,0,IF(D8=0,0,IF(D8=1,2*2,IF(D10=0,(D8+1)*2-E28,(D8+1+D10)*2-E28))))</f>
        <v>0</v>
      </c>
      <c r="F27" s="78">
        <f>IF(AND(F6&gt;0,F11="да"),0,F6)</f>
        <v>0</v>
      </c>
      <c r="G27" s="79">
        <f>IF(F27=0,0,IF(F8=0,0,IF(F8=1,2*2,IF(F10=0,(F8+1)*2-G28,(F8+1+F10)*2-G28))))</f>
        <v>0</v>
      </c>
      <c r="H27" s="80">
        <f>IF(AND(H6&gt;0,H11="да"),0,H6)</f>
        <v>0</v>
      </c>
      <c r="I27" s="81">
        <f>IF(H27=0,0,IF(H8=0,0,IF(H8=1,2*2,IF(H10=0,(H8+1)*2-I28,(H8+1+H10)*2-I28))))</f>
        <v>0</v>
      </c>
      <c r="J27" s="76">
        <f>IF(C27=0,0,IF(B14="столб 62х55",VLOOKUP($A$18,'Цены Жалюзи'!$B$37:$R$61,4,FALSE)*B27*C27,IF(B14="столб 60х60",VLOOKUP($A$18,'Цены Жалюзи'!$B$37:$R$61,5,FALSE)*B27*C27,IF(B14="столб 80х80",VLOOKUP($A$18,'Цены Жалюзи'!$B$37:$R$61,6,FALSE)*B27*C27,0))))</f>
        <v>0</v>
      </c>
      <c r="K27" s="76">
        <f>IF(E27=0,0,IF(D14="столб 62х55",VLOOKUP($A$18,'Цены Жалюзи'!$B$37:$R$61,4,FALSE)*D27*E27,IF(D14="столб 60х60",VLOOKUP($A$18,'Цены Жалюзи'!$B$37:$R$61,5,FALSE)*D27*E27,IF(D14="столб 80х80",VLOOKUP($A$18,'Цены Жалюзи'!$B$37:$R$61,6,FALSE)*D27*E27,0))))</f>
        <v>0</v>
      </c>
      <c r="L27" s="76">
        <f>IF(G27=0,0,IF(F14="столб 62х55",VLOOKUP($A$18,'Цены Жалюзи'!$B$37:$R$61,4,FALSE)*F27*G27,IF(F14="столб 60х60",VLOOKUP($A$18,'Цены Жалюзи'!$B$37:$R$61,5,FALSE)*F27*G27,IF(F14="столб 80х80",VLOOKUP($A$18,'Цены Жалюзи'!$B$37:$R$61,6,FALSE)*F27*G27,0))))</f>
        <v>0</v>
      </c>
      <c r="M27" s="76">
        <f>IF(I27=0,0,IF(H14="столб 62х55",VLOOKUP($A$18,'Цены Жалюзи'!$B$37:$R$61,4,FALSE)*H27*I27,IF(H14="столб 60х60",VLOOKUP($A$18,'Цены Жалюзи'!$B$37:$R$61,5,FALSE)*H27*I27,IF(H14="столб 80х80",VLOOKUP($A$18,'Цены Жалюзи'!$B$37:$R$61,6,FALSE)*H27*I27,0))))</f>
        <v>0</v>
      </c>
      <c r="N27" s="136"/>
      <c r="O27" s="9"/>
    </row>
    <row r="28" spans="1:15" ht="16.5" customHeight="1">
      <c r="A28" s="67" t="s">
        <v>25</v>
      </c>
      <c r="B28" s="78">
        <f>IF(OR(AND(B9=0,B10=0),B11="да"),0,B6)</f>
        <v>0</v>
      </c>
      <c r="C28" s="79">
        <f>IF(B28=0,0,B9+B10*2)</f>
        <v>0</v>
      </c>
      <c r="D28" s="78">
        <f>IF(OR(AND(D9=0,D10=0),D11="да"),0,D6)</f>
        <v>0</v>
      </c>
      <c r="E28" s="79">
        <f>IF(D28=0,0,D9+D10*2)</f>
        <v>0</v>
      </c>
      <c r="F28" s="78">
        <f>IF(OR(AND(F9=0,F10=0),F11="да"),0,F6)</f>
        <v>0</v>
      </c>
      <c r="G28" s="79">
        <f>IF(F28=0,0,F9+F10*2)</f>
        <v>0</v>
      </c>
      <c r="H28" s="80">
        <f>IF(OR(AND(H9=0,H10=0),H11="да"),0,H6)</f>
        <v>0</v>
      </c>
      <c r="I28" s="81">
        <f>IF(H28=0,0,H9+H10*2)</f>
        <v>0</v>
      </c>
      <c r="J28" s="76">
        <f>IF(C28=0,0,IF(B14="столб 62х55",VLOOKUP($A$18,'Цены Жалюзи'!$B$37:$R$61,7,FALSE)*B28*C28,IF(B14="столб 60х60",VLOOKUP($A$18,'Цены Жалюзи'!$B$37:$R$61,8,FALSE)*B28*C28,IF(B14="столб 80х80",VLOOKUP($A$18,'Цены Жалюзи'!$B$37:$R$61,9,FALSE)*B28*C28,0))))</f>
        <v>0</v>
      </c>
      <c r="K28" s="76">
        <f>IF(E28=0,0,IF(D14="столб 62х55",VLOOKUP($A$18,'Цены Жалюзи'!$B$37:$R$61,7,FALSE)*D28*E28,IF(D14="столб 60х60",VLOOKUP($A$18,'Цены Жалюзи'!$B$37:$R$61,8,FALSE)*D28*E28,IF(D14="столб 80х80",VLOOKUP($A$18,'Цены Жалюзи'!$B$37:$R$61,9,FALSE)*D28*E28,0))))</f>
        <v>0</v>
      </c>
      <c r="L28" s="76">
        <f>IF(G28=0,0,IF(F14="столб 62х55",VLOOKUP($A$18,'Цены Жалюзи'!$B$37:$R$61,7,FALSE)*F28*G28,IF(F14="столб 60х60",VLOOKUP($A$18,'Цены Жалюзи'!$B$37:$R$61,8,FALSE)*F28*G28,IF(F14="столб 80х80",VLOOKUP($A$18,'Цены Жалюзи'!$B$37:$R$61,9,FALSE)*F28*G28,0))))</f>
        <v>0</v>
      </c>
      <c r="M28" s="76">
        <f>IF(I28=0,0,IF(H14="столб 62х55",VLOOKUP($A$18,'Цены Жалюзи'!$B$37:$R$61,7,FALSE)*H28*I28,IF(H14="столб 60х60",VLOOKUP($A$18,'Цены Жалюзи'!$B$37:$R$61,8,FALSE)*H28*I28,IF(H14="столб 80х80",VLOOKUP($A$18,'Цены Жалюзи'!$B$37:$R$61,9,FALSE)*H28*I28,0))))</f>
        <v>0</v>
      </c>
      <c r="O28" s="9"/>
    </row>
    <row r="29" spans="1:15" ht="16.5" customHeight="1">
      <c r="A29" s="67" t="s">
        <v>9</v>
      </c>
      <c r="B29" s="78">
        <f>IF(B8=0,0,B6)</f>
        <v>0</v>
      </c>
      <c r="C29" s="79">
        <f>B8*(ROUNDDOWN(B7/1.01,0))</f>
        <v>0</v>
      </c>
      <c r="D29" s="78">
        <f>IF(D8=0,0,D6)</f>
        <v>0</v>
      </c>
      <c r="E29" s="79">
        <f>D8*(ROUNDDOWN(D7/1.01,0))</f>
        <v>0</v>
      </c>
      <c r="F29" s="78">
        <f>IF(F8=0,0,F6)</f>
        <v>0</v>
      </c>
      <c r="G29" s="79">
        <f>F8*(ROUNDDOWN(F7/1.01,0))</f>
        <v>0</v>
      </c>
      <c r="H29" s="80">
        <f>IF(H8=0,0,H6)</f>
        <v>0</v>
      </c>
      <c r="I29" s="81">
        <f>H8*(ROUNDDOWN(H7/1.01,0))</f>
        <v>0</v>
      </c>
      <c r="J29" s="76">
        <f>IF(C29=0,0,VLOOKUP($A$18,'Цены Жалюзи'!$B$37:$R$61,10,FALSE)*B29*C29)</f>
        <v>0</v>
      </c>
      <c r="K29" s="76">
        <f>IF(E29=0,0,VLOOKUP($A$18,'Цены Жалюзи'!$B$37:$R$61,10,FALSE)*D29*E29)</f>
        <v>0</v>
      </c>
      <c r="L29" s="76">
        <f>IF(G29=0,0,VLOOKUP($A$18,'Цены Жалюзи'!$B$37:$R$61,10,FALSE)*F29*G29)</f>
        <v>0</v>
      </c>
      <c r="M29" s="76">
        <f>IF(I29=0,0,VLOOKUP($A$18,'Цены Жалюзи'!$B$37:$R$61,10,FALSE)*H29*I29)</f>
        <v>0</v>
      </c>
      <c r="O29" s="9"/>
    </row>
    <row r="30" spans="1:15" ht="16.5" customHeight="1">
      <c r="A30" s="67" t="s">
        <v>126</v>
      </c>
      <c r="B30" s="78">
        <f>IF(B8=0,0,B6)</f>
        <v>0</v>
      </c>
      <c r="C30" s="79">
        <f>2*B8</f>
        <v>0</v>
      </c>
      <c r="D30" s="78">
        <f>IF(D8=0,0,D6)</f>
        <v>0</v>
      </c>
      <c r="E30" s="79">
        <f>2*D8</f>
        <v>0</v>
      </c>
      <c r="F30" s="78">
        <f>IF(F8=0,0,F6)</f>
        <v>0</v>
      </c>
      <c r="G30" s="79">
        <f>2*F8</f>
        <v>0</v>
      </c>
      <c r="H30" s="80">
        <f>IF(H8=0,0,H6)</f>
        <v>0</v>
      </c>
      <c r="I30" s="81">
        <f>2*H8</f>
        <v>0</v>
      </c>
      <c r="J30" s="76">
        <f>IF(C30=0,0,VLOOKUP($A$18,'Цены Жалюзи'!$B$37:$R$61,13,FALSE)*B30*C30)</f>
        <v>0</v>
      </c>
      <c r="K30" s="76">
        <f>IF(E30=0,0,VLOOKUP($A$18,'Цены Жалюзи'!$B$37:$R$61,13,FALSE)*D30*E30)</f>
        <v>0</v>
      </c>
      <c r="L30" s="76">
        <f>IF(G30=0,0,VLOOKUP($A$18,'Цены Жалюзи'!$B$37:$R$61,13,FALSE)*F30*G30)</f>
        <v>0</v>
      </c>
      <c r="M30" s="76">
        <f>IF(I30=0,0,VLOOKUP($A$18,'Цены Жалюзи'!$B$37:$R$61,13,FALSE)*H30*I30)</f>
        <v>0</v>
      </c>
      <c r="O30" s="9"/>
    </row>
    <row r="31" spans="1:15" ht="16.5" customHeight="1">
      <c r="A31" s="67" t="s">
        <v>152</v>
      </c>
      <c r="B31" s="78">
        <f>IF(B7=0,0,ROUND(B7,2))</f>
        <v>0</v>
      </c>
      <c r="C31" s="79">
        <f>1*B8</f>
        <v>0</v>
      </c>
      <c r="D31" s="78">
        <f>IF(D7=0,0,ROUND(D7,2))</f>
        <v>0</v>
      </c>
      <c r="E31" s="79">
        <f>1*D8</f>
        <v>0</v>
      </c>
      <c r="F31" s="78">
        <f>IF(F7=0,0,ROUND(F7,2))</f>
        <v>0</v>
      </c>
      <c r="G31" s="79">
        <f>1*F8</f>
        <v>0</v>
      </c>
      <c r="H31" s="78">
        <f>IF(H7=0,0,ROUND(H7,2))</f>
        <v>0</v>
      </c>
      <c r="I31" s="81">
        <f>1*H8</f>
        <v>0</v>
      </c>
      <c r="J31" s="76">
        <f>IF(C31=0,0,VLOOKUP($A$18,'Цены Жалюзи'!$B$37:$R$61,11,FALSE)*B31*C31)</f>
        <v>0</v>
      </c>
      <c r="K31" s="76">
        <f>IF(E31=0,0,VLOOKUP($A$18,'Цены Жалюзи'!$B$37:$R$61,11,FALSE)*D31*E31)</f>
        <v>0</v>
      </c>
      <c r="L31" s="76">
        <f>IF(G31=0,0,VLOOKUP($A$18,'Цены Жалюзи'!$B$37:$R$61,11,FALSE)*F31*G31)</f>
        <v>0</v>
      </c>
      <c r="M31" s="76">
        <f>IF(I31=0,0,VLOOKUP($A$18,'Цены Жалюзи'!$B$37:$R$61,11,FALSE)*H31*I31)</f>
        <v>0</v>
      </c>
      <c r="O31" s="9"/>
    </row>
    <row r="32" spans="1:15" ht="16.5" customHeight="1">
      <c r="A32" s="52" t="s">
        <v>286</v>
      </c>
      <c r="B32" s="82" t="s">
        <v>28</v>
      </c>
      <c r="C32" s="79">
        <f>IF(B11="да",0,(IF(B8=0,0,IF(B8=1,2,IF(B10=0,B8+1,B8+1+B10)))))</f>
        <v>0</v>
      </c>
      <c r="D32" s="82" t="s">
        <v>28</v>
      </c>
      <c r="E32" s="79">
        <f>IF(D11="да",0,(IF(D8=0,0,IF(D8=1,2,IF(D10=0,D8+1,D8+1+D10)))))</f>
        <v>0</v>
      </c>
      <c r="F32" s="82" t="s">
        <v>28</v>
      </c>
      <c r="G32" s="79">
        <f>IF(F11="да",0,(IF(F8=0,0,IF(F8=1,2,IF(F10=0,F8+1,F8+1+F10)))))</f>
        <v>0</v>
      </c>
      <c r="H32" s="83" t="s">
        <v>28</v>
      </c>
      <c r="I32" s="81">
        <f>IF(H11="да",0,(IF(H8=0,0,IF(H8=1,2,IF(H10=0,H8+1,H8+1+H10)))))</f>
        <v>0</v>
      </c>
      <c r="J32" s="76"/>
      <c r="K32" s="76"/>
      <c r="L32" s="76"/>
      <c r="M32" s="76"/>
      <c r="O32" s="9"/>
    </row>
    <row r="33" spans="1:15" ht="16.5" customHeight="1">
      <c r="A33" s="67" t="s">
        <v>27</v>
      </c>
      <c r="B33" s="78" t="s">
        <v>28</v>
      </c>
      <c r="C33" s="79">
        <f>IF(B8=0,0,2)</f>
        <v>0</v>
      </c>
      <c r="D33" s="78" t="s">
        <v>28</v>
      </c>
      <c r="E33" s="79">
        <v>0</v>
      </c>
      <c r="F33" s="78" t="s">
        <v>28</v>
      </c>
      <c r="G33" s="79">
        <v>0</v>
      </c>
      <c r="H33" s="80" t="s">
        <v>28</v>
      </c>
      <c r="I33" s="81">
        <v>0</v>
      </c>
      <c r="J33" s="76">
        <f>IF(C33=0,0,'Цены Жалюзи'!$T$37*2)</f>
        <v>0</v>
      </c>
      <c r="K33" s="76">
        <f>IF(E33=0,0,'Цены Жалюзи'!$T$37*2)</f>
        <v>0</v>
      </c>
      <c r="L33" s="76">
        <f>IF(G33=0,0,'Цены Жалюзи'!$T$37*2)</f>
        <v>0</v>
      </c>
      <c r="M33" s="76">
        <f>IF(I33=0,0,'Цены Жалюзи'!$T$37*2)</f>
        <v>0</v>
      </c>
      <c r="O33" s="9"/>
    </row>
    <row r="34" spans="1:15" ht="16.5" customHeight="1">
      <c r="A34" s="53" t="s">
        <v>34</v>
      </c>
      <c r="B34" s="82" t="str">
        <f>IF(C34=0,"-","5,5х19")</f>
        <v>-</v>
      </c>
      <c r="C34" s="79">
        <f>IF(B11="да",0,(C30*5))</f>
        <v>0</v>
      </c>
      <c r="D34" s="82" t="str">
        <f>IF(E34=0,"-","5,5х19")</f>
        <v>-</v>
      </c>
      <c r="E34" s="79">
        <f>IF(D11="да",0,(E30*5))</f>
        <v>0</v>
      </c>
      <c r="F34" s="82" t="str">
        <f>IF(G34=0,"-","5,5х19")</f>
        <v>-</v>
      </c>
      <c r="G34" s="79">
        <f>IF(F11="да",0,(G30*5))</f>
        <v>0</v>
      </c>
      <c r="H34" s="83" t="str">
        <f>IF(I34=0,"-","5,5х19")</f>
        <v>-</v>
      </c>
      <c r="I34" s="81">
        <f>IF(H11="да",0,(I30*5))</f>
        <v>0</v>
      </c>
      <c r="J34" s="76">
        <f>IF(C34=0,0,IF(OR($A$18="Цинк 0,5",$A$18="Цинк 0,55"),C34*'Цены Жалюзи'!$C$73,C34*'Цены Жалюзи'!$C$74))</f>
        <v>0</v>
      </c>
      <c r="K34" s="76">
        <f>IF(E34=0,0,IF(OR($A$18="Цинк 0,5",$A$18="Цинк 0,55"),E34*'Цены Жалюзи'!$C$73,E34*'Цены Жалюзи'!$C$74))</f>
        <v>0</v>
      </c>
      <c r="L34" s="76">
        <f>IF(G34=0,0,IF(OR($A$18="Цинк 0,5",$A$18="Цинк 0,55"),G34*'Цены Жалюзи'!$C$73,G34*'Цены Жалюзи'!$C$74))</f>
        <v>0</v>
      </c>
      <c r="M34" s="76">
        <f>IF(I34=0,0,IF(OR($A$18="Цинк 0,5",$A$18="Цинк 0,55"),I34*'Цены Жалюзи'!$C$73,I34*'Цены Жалюзи'!$C$74))</f>
        <v>0</v>
      </c>
      <c r="O34" s="9"/>
    </row>
    <row r="35" spans="1:15" ht="16.5" customHeight="1">
      <c r="A35" s="67" t="s">
        <v>36</v>
      </c>
      <c r="B35" s="82" t="str">
        <f>IF(C35=0,"-","4,2x16")</f>
        <v>-</v>
      </c>
      <c r="C35" s="79">
        <f>IF(B8=0,0,C26*4+C31*4+IF(B8&gt;0,C26/B8*C29,0))</f>
        <v>0</v>
      </c>
      <c r="D35" s="82" t="str">
        <f>IF(E35=0,"-","4,2x16")</f>
        <v>-</v>
      </c>
      <c r="E35" s="79">
        <f>IF(D8=0,0,E26*4+E31*4+IF(D8&gt;0,E26/D8*E29,0))</f>
        <v>0</v>
      </c>
      <c r="F35" s="82" t="str">
        <f>IF(G35=0,"-","4,2x16")</f>
        <v>-</v>
      </c>
      <c r="G35" s="79">
        <f>IF(F8=0,0,G26*4+G31*4+IF(F8&gt;0,G26/F8*G29,0))</f>
        <v>0</v>
      </c>
      <c r="H35" s="83" t="str">
        <f>IF(I35=0,"-","4,2x16")</f>
        <v>-</v>
      </c>
      <c r="I35" s="81">
        <f>IF(H8=0,0,I26*4+I31*4+IF(H8&gt;0,I26/H8*I29,0))</f>
        <v>0</v>
      </c>
      <c r="J35" s="76">
        <f>IF(C35=0,0,IF(OR($A$18="Цинк 0,5",$A$18="Цинк 0,55"),C35*'Цены Жалюзи'!$C$71,C35*'Цены Жалюзи'!$C$72))</f>
        <v>0</v>
      </c>
      <c r="K35" s="76">
        <f>IF(E35=0,0,IF(OR($A$18="Цинк 0,5",$A$18="Цинк 0,55"),E35*'Цены Жалюзи'!$C$71,E35*'Цены Жалюзи'!$C$72))</f>
        <v>0</v>
      </c>
      <c r="L35" s="76">
        <f>IF(G35=0,0,IF(OR($A$18="Цинк 0,5",$A$18="Цинк 0,55"),G35*'Цены Жалюзи'!$C$71,G35*'Цены Жалюзи'!$C$72))</f>
        <v>0</v>
      </c>
      <c r="M35" s="76">
        <f>IF(I35=0,0,IF(OR($A$18="Цинк 0,5",$A$18="Цинк 0,55"),I35*'Цены Жалюзи'!$C$71,I35*'Цены Жалюзи'!$C$72))</f>
        <v>0</v>
      </c>
      <c r="O35" s="9"/>
    </row>
    <row r="36" spans="1:15" ht="16.5" customHeight="1">
      <c r="A36" s="67" t="s">
        <v>306</v>
      </c>
      <c r="B36" s="82" t="str">
        <f>IF(C36=0,"-","7,5x52")</f>
        <v>-</v>
      </c>
      <c r="C36" s="79">
        <f>IF(B$8=0,0,IF(B$11="да",C30*5,0))</f>
        <v>0</v>
      </c>
      <c r="D36" s="82" t="str">
        <f>IF(E36=0,"-","7,5x52")</f>
        <v>-</v>
      </c>
      <c r="E36" s="79">
        <f>IF(D$8=0,0,IF(D$11="да",E30*5,0))</f>
        <v>0</v>
      </c>
      <c r="F36" s="82" t="str">
        <f>IF(G36=0,"-","7,5x52")</f>
        <v>-</v>
      </c>
      <c r="G36" s="79">
        <f>IF(F$8=0,0,IF(F$11="да",G30*5,0))</f>
        <v>0</v>
      </c>
      <c r="H36" s="82" t="str">
        <f>IF(I36=0,"-","7,5x52")</f>
        <v>-</v>
      </c>
      <c r="I36" s="81">
        <f>IF(H$8=0,0,IF(H$11="да",I30*5,0))</f>
        <v>0</v>
      </c>
      <c r="J36" s="76">
        <f>IF(C36=0,0,C36*'Цены Жалюзи'!$C$75)</f>
        <v>0</v>
      </c>
      <c r="K36" s="76">
        <f>IF(E36=0,0,E36*'Цены Жалюзи'!$C$75)</f>
        <v>0</v>
      </c>
      <c r="L36" s="76">
        <f>IF(G36=0,0,G36*'Цены Жалюзи'!$C$75)</f>
        <v>0</v>
      </c>
      <c r="M36" s="76">
        <f>IF(I36=0,0,I36*'Цены Жалюзи'!$C$75)</f>
        <v>0</v>
      </c>
      <c r="O36" s="9"/>
    </row>
    <row r="37" spans="1:15" ht="16.5" customHeight="1">
      <c r="A37" s="67" t="s">
        <v>112</v>
      </c>
      <c r="B37" s="82"/>
      <c r="C37" s="79">
        <f>C36</f>
        <v>0</v>
      </c>
      <c r="D37" s="82"/>
      <c r="E37" s="79">
        <f>E36</f>
        <v>0</v>
      </c>
      <c r="F37" s="82"/>
      <c r="G37" s="79">
        <f>G36</f>
        <v>0</v>
      </c>
      <c r="H37" s="82"/>
      <c r="I37" s="81">
        <f>I36</f>
        <v>0</v>
      </c>
      <c r="J37" s="76">
        <f>IF(C37=0,0,C37*'Цены Жалюзи'!$C$76)</f>
        <v>0</v>
      </c>
      <c r="K37" s="76">
        <f>IF(E37=0,0,E37*'Цены Жалюзи'!$C$76)</f>
        <v>0</v>
      </c>
      <c r="L37" s="76">
        <f>IF(G37=0,0,G37*'Цены Жалюзи'!$C$76)</f>
        <v>0</v>
      </c>
      <c r="M37" s="76">
        <f>IF(I37=0,0,I37*'Цены Жалюзи'!$C$76)</f>
        <v>0</v>
      </c>
      <c r="O37" s="9"/>
    </row>
    <row r="38" spans="1:15" ht="16.5" customHeight="1">
      <c r="A38" s="67" t="s">
        <v>359</v>
      </c>
      <c r="B38" s="82"/>
      <c r="C38" s="79">
        <f>IF(AND(B15="да",B6=2.1),B8*2,0)</f>
        <v>0</v>
      </c>
      <c r="D38" s="82"/>
      <c r="E38" s="79">
        <f>IF(AND(D15="да",D6=2.1),D8*2,0)</f>
        <v>0</v>
      </c>
      <c r="F38" s="82"/>
      <c r="G38" s="79">
        <f>IF(AND(F15="да",F6=2.1),F8*2,0)</f>
        <v>0</v>
      </c>
      <c r="H38" s="82"/>
      <c r="I38" s="79">
        <f>IF(AND(H15="да",H6=2.1),H8*2,0)</f>
        <v>0</v>
      </c>
      <c r="J38" s="180">
        <f>IF(C38=0,0,C38*'Цены Жалюзи'!$S$37)</f>
        <v>0</v>
      </c>
      <c r="K38" s="180">
        <f>IF(E38=0,0,E38*'Цены Жалюзи'!$S$37)</f>
        <v>0</v>
      </c>
      <c r="L38" s="180">
        <f>IF(G38=0,0,G38*'Цены Жалюзи'!$S$37)</f>
        <v>0</v>
      </c>
      <c r="M38" s="180">
        <f>IF(I38=0,0,I38*'Цены Жалюзи'!$S$37)</f>
        <v>0</v>
      </c>
      <c r="N38" s="76"/>
      <c r="O38" s="9"/>
    </row>
    <row r="39" spans="1:15" ht="24" customHeight="1">
      <c r="A39" s="67"/>
      <c r="B39" s="227" t="str">
        <f>IF(AND(B15="да",B6=2.1),"-","Крепежный вкладыш не применяется")</f>
        <v>Крепежный вкладыш не применяется</v>
      </c>
      <c r="C39" s="226"/>
      <c r="D39" s="227" t="str">
        <f>IF(AND(D15="да",D6=2.1),"-","Крепежный вкладыш не применяется")</f>
        <v>Крепежный вкладыш не применяется</v>
      </c>
      <c r="E39" s="226"/>
      <c r="F39" s="227" t="str">
        <f>IF(AND(F15="да",F6=2.1),"-","Крепежный вкладыш не применяется")</f>
        <v>Крепежный вкладыш не применяется</v>
      </c>
      <c r="G39" s="226"/>
      <c r="H39" s="227" t="str">
        <f>IF(AND(H15="да",H6=2.1),"-","Крепежный вкладыш не применяется")</f>
        <v>Крепежный вкладыш не применяется</v>
      </c>
      <c r="I39" s="226"/>
      <c r="J39" s="180"/>
      <c r="K39" s="180"/>
      <c r="L39" s="180"/>
      <c r="M39" s="180"/>
      <c r="N39" s="76"/>
      <c r="O39" s="9"/>
    </row>
    <row r="40" spans="1:15" ht="16.5" customHeight="1">
      <c r="A40" s="101" t="s">
        <v>39</v>
      </c>
      <c r="B40" s="106"/>
      <c r="C40" s="107"/>
      <c r="D40" s="108"/>
      <c r="E40" s="109"/>
      <c r="F40" s="110"/>
      <c r="G40" s="107"/>
      <c r="H40" s="110"/>
      <c r="I40" s="106"/>
      <c r="J40" s="75"/>
      <c r="K40" s="75"/>
      <c r="L40" s="75"/>
      <c r="M40" s="75"/>
      <c r="O40" s="9"/>
    </row>
    <row r="41" spans="1:15" ht="16.5" customHeight="1">
      <c r="A41" s="67" t="s">
        <v>40</v>
      </c>
      <c r="B41" s="84"/>
      <c r="C41" s="79">
        <f>IF($B$12=$A41,1,0)</f>
        <v>0</v>
      </c>
      <c r="D41" s="85"/>
      <c r="E41" s="79">
        <f>IF($D$12=$A41,1,0)</f>
        <v>0</v>
      </c>
      <c r="F41" s="85"/>
      <c r="G41" s="79">
        <f>IF($F$12=$A41,1,0)</f>
        <v>0</v>
      </c>
      <c r="H41" s="85"/>
      <c r="I41" s="81">
        <f>IF($H$12=$A41,1,0)</f>
        <v>0</v>
      </c>
      <c r="J41" s="76">
        <f>IF(C41=0,0,'Цены Жалюзи'!$R$71)</f>
        <v>0</v>
      </c>
      <c r="K41" s="76">
        <f>IF(E41=0,0,'Цены Жалюзи'!$R$71)</f>
        <v>0</v>
      </c>
      <c r="L41" s="76">
        <f>IF(G41=0,0,'Цены Жалюзи'!$R$71)</f>
        <v>0</v>
      </c>
      <c r="M41" s="76">
        <f>IF(I41=0,0,'Цены Жалюзи'!$R$71)</f>
        <v>0</v>
      </c>
      <c r="O41" s="9"/>
    </row>
    <row r="42" spans="1:15" ht="16.5" customHeight="1">
      <c r="A42" s="67" t="s">
        <v>319</v>
      </c>
      <c r="B42" s="84"/>
      <c r="C42" s="79">
        <f>IF($B$12=$A42,1,0)</f>
        <v>0</v>
      </c>
      <c r="D42" s="85"/>
      <c r="E42" s="79">
        <f>IF($D$12=$A42,1,0)</f>
        <v>0</v>
      </c>
      <c r="F42" s="85"/>
      <c r="G42" s="79">
        <f>IF($F$12=$A42,1,0)</f>
        <v>0</v>
      </c>
      <c r="H42" s="85"/>
      <c r="I42" s="81">
        <f>IF($H$12=$A42,1,0)</f>
        <v>0</v>
      </c>
      <c r="J42" s="76">
        <f>IF(C42=0,0,'Цены Жалюзи'!$R$72)</f>
        <v>0</v>
      </c>
      <c r="K42" s="76">
        <f>IF(E42=0,0,'Цены Жалюзи'!$R$72)</f>
        <v>0</v>
      </c>
      <c r="L42" s="76">
        <f>IF(G42=0,0,'Цены Жалюзи'!$R$72)</f>
        <v>0</v>
      </c>
      <c r="M42" s="76">
        <f>IF(I42=0,0,'Цены Жалюзи'!$R$72)</f>
        <v>0</v>
      </c>
      <c r="O42" s="9"/>
    </row>
    <row r="43" spans="1:15" ht="16.5" customHeight="1">
      <c r="A43" s="67" t="s">
        <v>42</v>
      </c>
      <c r="B43" s="84"/>
      <c r="C43" s="79">
        <f>IF($B$12=$A43,1,0)</f>
        <v>0</v>
      </c>
      <c r="D43" s="85"/>
      <c r="E43" s="79">
        <f>IF($D$12=$A43,1,0)</f>
        <v>0</v>
      </c>
      <c r="F43" s="85"/>
      <c r="G43" s="79">
        <f>IF($F$12=$A43,1,0)</f>
        <v>0</v>
      </c>
      <c r="H43" s="85"/>
      <c r="I43" s="81">
        <f>IF($H$12=$A43,1,0)</f>
        <v>0</v>
      </c>
      <c r="J43" s="76">
        <f>IF(C43=0,0,'Цены Жалюзи'!$R$73)</f>
        <v>0</v>
      </c>
      <c r="K43" s="76">
        <f>IF(E43=0,0,'Цены Жалюзи'!$R$73)</f>
        <v>0</v>
      </c>
      <c r="L43" s="76">
        <f>IF(G43=0,0,'Цены Жалюзи'!$R$73)</f>
        <v>0</v>
      </c>
      <c r="M43" s="76">
        <f>IF(I43=0,0,'Цены Жалюзи'!$R$73)</f>
        <v>0</v>
      </c>
      <c r="O43" s="9"/>
    </row>
    <row r="44" spans="1:15" ht="16.5" customHeight="1">
      <c r="A44" s="67" t="s">
        <v>320</v>
      </c>
      <c r="B44" s="84"/>
      <c r="C44" s="79">
        <f>IF($B$12=$A44,1,0)</f>
        <v>0</v>
      </c>
      <c r="D44" s="85"/>
      <c r="E44" s="79">
        <f>IF($D$12=$A44,1,0)</f>
        <v>0</v>
      </c>
      <c r="F44" s="85"/>
      <c r="G44" s="79">
        <f>IF($F$12=$A44,1,0)</f>
        <v>0</v>
      </c>
      <c r="H44" s="85"/>
      <c r="I44" s="81">
        <f>IF($H$12=$A44,1,0)</f>
        <v>0</v>
      </c>
      <c r="J44" s="76">
        <f>IF(C44=0,0,'Цены Жалюзи'!$R$74)</f>
        <v>0</v>
      </c>
      <c r="K44" s="76">
        <f>IF(E44=0,0,'Цены Жалюзи'!$R$74)</f>
        <v>0</v>
      </c>
      <c r="L44" s="76">
        <f>IF(G44=0,0,'Цены Жалюзи'!$R$74)</f>
        <v>0</v>
      </c>
      <c r="M44" s="76">
        <f>IF(I44=0,0,'Цены Жалюзи'!$R$74)</f>
        <v>0</v>
      </c>
      <c r="O44" s="9"/>
    </row>
    <row r="45" spans="1:15" ht="16.5" customHeight="1">
      <c r="A45" s="67" t="s">
        <v>321</v>
      </c>
      <c r="B45" s="84"/>
      <c r="C45" s="79">
        <f>IF($B$12=$A45,1,0)</f>
        <v>0</v>
      </c>
      <c r="D45" s="85"/>
      <c r="E45" s="79">
        <f>IF($D$12=$A45,1,0)</f>
        <v>0</v>
      </c>
      <c r="F45" s="85"/>
      <c r="G45" s="79">
        <f>IF($F$12=$A45,1,0)</f>
        <v>0</v>
      </c>
      <c r="H45" s="85"/>
      <c r="I45" s="81">
        <f>IF($H$12=$A45,1,0)</f>
        <v>0</v>
      </c>
      <c r="J45" s="76">
        <f>IF(C45=0,0,'Цены Жалюзи'!$R$75)</f>
        <v>0</v>
      </c>
      <c r="K45" s="76">
        <f>IF(E45=0,0,'Цены Жалюзи'!$R$75)</f>
        <v>0</v>
      </c>
      <c r="L45" s="76">
        <f>IF(G45=0,0,'Цены Жалюзи'!$R$75)</f>
        <v>0</v>
      </c>
      <c r="M45" s="76">
        <f>IF(I45=0,0,'Цены Жалюзи'!$R$75)</f>
        <v>0</v>
      </c>
      <c r="O45" s="9"/>
    </row>
    <row r="46" spans="1:15" ht="16.5" customHeight="1">
      <c r="A46" s="101" t="s">
        <v>43</v>
      </c>
      <c r="B46" s="106"/>
      <c r="C46" s="107"/>
      <c r="D46" s="108"/>
      <c r="E46" s="107"/>
      <c r="F46" s="110"/>
      <c r="G46" s="107"/>
      <c r="H46" s="110"/>
      <c r="I46" s="106"/>
      <c r="J46" s="75"/>
      <c r="K46" s="75"/>
      <c r="L46" s="75"/>
      <c r="M46" s="75"/>
      <c r="O46" s="9"/>
    </row>
    <row r="47" spans="1:15" ht="16.5" customHeight="1">
      <c r="A47" s="67" t="s">
        <v>45</v>
      </c>
      <c r="B47" s="84"/>
      <c r="C47" s="79">
        <f>IF(B$13=$A47,1,0)</f>
        <v>0</v>
      </c>
      <c r="D47" s="85"/>
      <c r="E47" s="79">
        <f>IF(D$13=$A47,1,0)</f>
        <v>0</v>
      </c>
      <c r="F47" s="85"/>
      <c r="G47" s="79">
        <f>IF(F$13=$A47,1,0)</f>
        <v>0</v>
      </c>
      <c r="H47" s="85"/>
      <c r="I47" s="81">
        <f>IF(H$13=$A47,1,0)</f>
        <v>0</v>
      </c>
      <c r="J47" s="76">
        <f>IF(C47=0,0,'Цены Жалюзи'!$R$76)</f>
        <v>0</v>
      </c>
      <c r="K47" s="76">
        <f>IF(E47=0,0,'Цены Жалюзи'!$R$76)</f>
        <v>0</v>
      </c>
      <c r="L47" s="76">
        <f>IF(G47=0,0,'Цены Жалюзи'!$R$76)</f>
        <v>0</v>
      </c>
      <c r="M47" s="76">
        <f>IF(I47=0,0,'Цены Жалюзи'!$R$76)</f>
        <v>0</v>
      </c>
      <c r="O47" s="9"/>
    </row>
    <row r="48" spans="1:15" ht="16.5" customHeight="1">
      <c r="A48" s="67" t="s">
        <v>322</v>
      </c>
      <c r="B48" s="84"/>
      <c r="C48" s="79">
        <f aca="true" t="shared" si="0" ref="C48:C57">IF(B$13=$A48,1,0)</f>
        <v>0</v>
      </c>
      <c r="D48" s="85"/>
      <c r="E48" s="79">
        <f aca="true" t="shared" si="1" ref="E48:E57">IF(D$13=$A48,1,0)</f>
        <v>0</v>
      </c>
      <c r="F48" s="85"/>
      <c r="G48" s="79">
        <f aca="true" t="shared" si="2" ref="G48:G57">IF(F$13=$A48,1,0)</f>
        <v>0</v>
      </c>
      <c r="H48" s="85"/>
      <c r="I48" s="81">
        <f aca="true" t="shared" si="3" ref="I48:I57">IF(H$13=$A48,1,0)</f>
        <v>0</v>
      </c>
      <c r="J48" s="76">
        <f>IF(C48=0,0,'Цены Жалюзи'!$R$77)</f>
        <v>0</v>
      </c>
      <c r="K48" s="76">
        <f>IF(E48=0,0,'Цены Жалюзи'!$R$77)</f>
        <v>0</v>
      </c>
      <c r="L48" s="76">
        <f>IF(G48=0,0,'Цены Жалюзи'!$R$77)</f>
        <v>0</v>
      </c>
      <c r="M48" s="76">
        <f>IF(I48=0,0,'Цены Жалюзи'!$R$77)</f>
        <v>0</v>
      </c>
      <c r="O48" s="9"/>
    </row>
    <row r="49" spans="1:15" ht="16.5" customHeight="1">
      <c r="A49" s="67" t="s">
        <v>46</v>
      </c>
      <c r="B49" s="84"/>
      <c r="C49" s="79">
        <f t="shared" si="0"/>
        <v>0</v>
      </c>
      <c r="D49" s="85"/>
      <c r="E49" s="79">
        <f t="shared" si="1"/>
        <v>0</v>
      </c>
      <c r="F49" s="85"/>
      <c r="G49" s="79">
        <f t="shared" si="2"/>
        <v>0</v>
      </c>
      <c r="H49" s="85"/>
      <c r="I49" s="81">
        <f t="shared" si="3"/>
        <v>0</v>
      </c>
      <c r="J49" s="76">
        <f>IF(C49=0,0,'Цены Жалюзи'!$R$78)</f>
        <v>0</v>
      </c>
      <c r="K49" s="76">
        <f>IF(E49=0,0,'Цены Жалюзи'!$R$78)</f>
        <v>0</v>
      </c>
      <c r="L49" s="76">
        <f>IF(G49=0,0,'Цены Жалюзи'!$R$78)</f>
        <v>0</v>
      </c>
      <c r="M49" s="76">
        <f>IF(I49=0,0,'Цены Жалюзи'!$R$78)</f>
        <v>0</v>
      </c>
      <c r="O49" s="9"/>
    </row>
    <row r="50" spans="1:15" ht="16.5" customHeight="1">
      <c r="A50" s="67" t="s">
        <v>323</v>
      </c>
      <c r="B50" s="84"/>
      <c r="C50" s="79">
        <f t="shared" si="0"/>
        <v>0</v>
      </c>
      <c r="D50" s="85"/>
      <c r="E50" s="79">
        <f t="shared" si="1"/>
        <v>0</v>
      </c>
      <c r="F50" s="85"/>
      <c r="G50" s="79">
        <f t="shared" si="2"/>
        <v>0</v>
      </c>
      <c r="H50" s="85"/>
      <c r="I50" s="81">
        <f t="shared" si="3"/>
        <v>0</v>
      </c>
      <c r="J50" s="76">
        <f>IF(C50=0,0,'Цены Жалюзи'!$R$79)</f>
        <v>0</v>
      </c>
      <c r="K50" s="76">
        <f>IF(E50=0,0,'Цены Жалюзи'!$R$79)</f>
        <v>0</v>
      </c>
      <c r="L50" s="76">
        <f>IF(G50=0,0,'Цены Жалюзи'!$R$79)</f>
        <v>0</v>
      </c>
      <c r="M50" s="76">
        <f>IF(I50=0,0,'Цены Жалюзи'!$R$79)</f>
        <v>0</v>
      </c>
      <c r="O50" s="9"/>
    </row>
    <row r="51" spans="1:15" ht="16.5" customHeight="1">
      <c r="A51" s="67" t="s">
        <v>47</v>
      </c>
      <c r="B51" s="84"/>
      <c r="C51" s="79">
        <f t="shared" si="0"/>
        <v>0</v>
      </c>
      <c r="D51" s="85"/>
      <c r="E51" s="79">
        <f t="shared" si="1"/>
        <v>0</v>
      </c>
      <c r="F51" s="85"/>
      <c r="G51" s="79">
        <f t="shared" si="2"/>
        <v>0</v>
      </c>
      <c r="H51" s="85"/>
      <c r="I51" s="81">
        <f t="shared" si="3"/>
        <v>0</v>
      </c>
      <c r="J51" s="76">
        <f>IF(C51=0,0,'Цены Жалюзи'!$R$80)</f>
        <v>0</v>
      </c>
      <c r="K51" s="76">
        <f>IF(E51=0,0,'Цены Жалюзи'!$R$80)</f>
        <v>0</v>
      </c>
      <c r="L51" s="76">
        <f>IF(G51=0,0,'Цены Жалюзи'!$R$80)</f>
        <v>0</v>
      </c>
      <c r="M51" s="76">
        <f>IF(I51=0,0,'Цены Жалюзи'!$R$80)</f>
        <v>0</v>
      </c>
      <c r="O51" s="9"/>
    </row>
    <row r="52" spans="1:15" ht="16.5" customHeight="1">
      <c r="A52" s="67" t="s">
        <v>49</v>
      </c>
      <c r="B52" s="84"/>
      <c r="C52" s="79">
        <f t="shared" si="0"/>
        <v>0</v>
      </c>
      <c r="D52" s="85"/>
      <c r="E52" s="79">
        <f t="shared" si="1"/>
        <v>0</v>
      </c>
      <c r="F52" s="85"/>
      <c r="G52" s="79">
        <f t="shared" si="2"/>
        <v>0</v>
      </c>
      <c r="H52" s="85"/>
      <c r="I52" s="81">
        <f t="shared" si="3"/>
        <v>0</v>
      </c>
      <c r="J52" s="76">
        <f>IF(C52=0,0,'Цены Жалюзи'!$R$81)</f>
        <v>0</v>
      </c>
      <c r="K52" s="76">
        <f>IF(E52=0,0,'Цены Жалюзи'!$R$81)</f>
        <v>0</v>
      </c>
      <c r="L52" s="76">
        <f>IF(G52=0,0,'Цены Жалюзи'!$R$81)</f>
        <v>0</v>
      </c>
      <c r="M52" s="76">
        <f>IF(I52=0,0,'Цены Жалюзи'!$R$81)</f>
        <v>0</v>
      </c>
      <c r="O52" s="9"/>
    </row>
    <row r="53" spans="1:15" ht="16.5" customHeight="1">
      <c r="A53" s="67" t="s">
        <v>51</v>
      </c>
      <c r="B53" s="84"/>
      <c r="C53" s="79">
        <f t="shared" si="0"/>
        <v>0</v>
      </c>
      <c r="D53" s="85"/>
      <c r="E53" s="79">
        <f t="shared" si="1"/>
        <v>0</v>
      </c>
      <c r="F53" s="85"/>
      <c r="G53" s="79">
        <f t="shared" si="2"/>
        <v>0</v>
      </c>
      <c r="H53" s="85"/>
      <c r="I53" s="81">
        <f t="shared" si="3"/>
        <v>0</v>
      </c>
      <c r="J53" s="76">
        <f>IF(C53=0,0,'Цены Жалюзи'!$R$82)</f>
        <v>0</v>
      </c>
      <c r="K53" s="76">
        <f>IF(E53=0,0,'Цены Жалюзи'!$R$82)</f>
        <v>0</v>
      </c>
      <c r="L53" s="76">
        <f>IF(G53=0,0,'Цены Жалюзи'!$R$82)</f>
        <v>0</v>
      </c>
      <c r="M53" s="76">
        <f>IF(I53=0,0,'Цены Жалюзи'!$R$82)</f>
        <v>0</v>
      </c>
      <c r="O53" s="9"/>
    </row>
    <row r="54" spans="1:15" ht="16.5" customHeight="1">
      <c r="A54" s="67" t="s">
        <v>53</v>
      </c>
      <c r="B54" s="84"/>
      <c r="C54" s="79">
        <f t="shared" si="0"/>
        <v>0</v>
      </c>
      <c r="D54" s="85"/>
      <c r="E54" s="79">
        <f t="shared" si="1"/>
        <v>0</v>
      </c>
      <c r="F54" s="85"/>
      <c r="G54" s="79">
        <f t="shared" si="2"/>
        <v>0</v>
      </c>
      <c r="H54" s="85"/>
      <c r="I54" s="81">
        <f t="shared" si="3"/>
        <v>0</v>
      </c>
      <c r="J54" s="76">
        <f>IF(C54=0,0,'Цены Жалюзи'!$R$83)</f>
        <v>0</v>
      </c>
      <c r="K54" s="76">
        <f>IF(E54=0,0,'Цены Жалюзи'!$R$83)</f>
        <v>0</v>
      </c>
      <c r="L54" s="76">
        <f>IF(G54=0,0,'Цены Жалюзи'!$R$83)</f>
        <v>0</v>
      </c>
      <c r="M54" s="76">
        <f>IF(I54=0,0,'Цены Жалюзи'!$R$83)</f>
        <v>0</v>
      </c>
      <c r="O54" s="9"/>
    </row>
    <row r="55" spans="1:15" ht="15.75" customHeight="1">
      <c r="A55" s="67" t="s">
        <v>55</v>
      </c>
      <c r="B55" s="84"/>
      <c r="C55" s="79">
        <f t="shared" si="0"/>
        <v>0</v>
      </c>
      <c r="D55" s="85"/>
      <c r="E55" s="79">
        <f t="shared" si="1"/>
        <v>0</v>
      </c>
      <c r="F55" s="85"/>
      <c r="G55" s="79">
        <f t="shared" si="2"/>
        <v>0</v>
      </c>
      <c r="H55" s="85"/>
      <c r="I55" s="81">
        <f t="shared" si="3"/>
        <v>0</v>
      </c>
      <c r="J55" s="76">
        <f>IF(C55=0,0,'Цены Жалюзи'!$R$84)</f>
        <v>0</v>
      </c>
      <c r="K55" s="76">
        <f>IF(E55=0,0,'Цены Жалюзи'!$R$84)</f>
        <v>0</v>
      </c>
      <c r="L55" s="76">
        <f>IF(G55=0,0,'Цены Жалюзи'!$R$84)</f>
        <v>0</v>
      </c>
      <c r="M55" s="76">
        <f>IF(I55=0,0,'Цены Жалюзи'!$R$84)</f>
        <v>0</v>
      </c>
      <c r="O55" s="10"/>
    </row>
    <row r="56" spans="1:15" ht="15.75" customHeight="1">
      <c r="A56" s="67" t="s">
        <v>58</v>
      </c>
      <c r="B56" s="84"/>
      <c r="C56" s="79">
        <f t="shared" si="0"/>
        <v>0</v>
      </c>
      <c r="D56" s="85"/>
      <c r="E56" s="79">
        <f t="shared" si="1"/>
        <v>0</v>
      </c>
      <c r="F56" s="85"/>
      <c r="G56" s="79">
        <f t="shared" si="2"/>
        <v>0</v>
      </c>
      <c r="H56" s="85"/>
      <c r="I56" s="81">
        <f t="shared" si="3"/>
        <v>0</v>
      </c>
      <c r="J56" s="76">
        <f>IF(C56=0,0,'Цены Жалюзи'!$R$85)</f>
        <v>0</v>
      </c>
      <c r="K56" s="76">
        <f>IF(E56=0,0,'Цены Жалюзи'!$R$85)</f>
        <v>0</v>
      </c>
      <c r="L56" s="76">
        <f>IF(G56=0,0,'Цены Жалюзи'!$R$85)</f>
        <v>0</v>
      </c>
      <c r="M56" s="76">
        <f>IF(I56=0,0,'Цены Жалюзи'!$R$85)</f>
        <v>0</v>
      </c>
      <c r="O56" s="11"/>
    </row>
    <row r="57" spans="1:15" ht="15.75" customHeight="1">
      <c r="A57" s="67" t="s">
        <v>324</v>
      </c>
      <c r="B57" s="84"/>
      <c r="C57" s="79">
        <f t="shared" si="0"/>
        <v>0</v>
      </c>
      <c r="D57" s="85"/>
      <c r="E57" s="79">
        <f t="shared" si="1"/>
        <v>0</v>
      </c>
      <c r="F57" s="85"/>
      <c r="G57" s="79">
        <f t="shared" si="2"/>
        <v>0</v>
      </c>
      <c r="H57" s="85"/>
      <c r="I57" s="81">
        <f t="shared" si="3"/>
        <v>0</v>
      </c>
      <c r="J57" s="76">
        <f>IF(C57=0,0,'Цены Жалюзи'!$R$86)</f>
        <v>0</v>
      </c>
      <c r="K57" s="76">
        <f>IF(E57=0,0,'Цены Жалюзи'!$R$86)</f>
        <v>0</v>
      </c>
      <c r="L57" s="76">
        <f>IF(G57=0,0,'Цены Жалюзи'!$R$86)</f>
        <v>0</v>
      </c>
      <c r="M57" s="76">
        <f>IF(I57=0,0,'Цены Жалюзи'!$R$86)</f>
        <v>0</v>
      </c>
      <c r="O57" s="11"/>
    </row>
    <row r="58" spans="1:15" ht="15.75" customHeight="1">
      <c r="A58" s="67" t="s">
        <v>60</v>
      </c>
      <c r="B58" s="84"/>
      <c r="C58" s="79">
        <f aca="true" t="shared" si="4" ref="C58:C63">IF(B$13=$A58,1,0)</f>
        <v>0</v>
      </c>
      <c r="D58" s="85"/>
      <c r="E58" s="79">
        <f aca="true" t="shared" si="5" ref="E58:E63">IF(D$13=$A58,1,0)</f>
        <v>0</v>
      </c>
      <c r="F58" s="85"/>
      <c r="G58" s="79">
        <f aca="true" t="shared" si="6" ref="G58:G63">IF(F$13=$A58,1,0)</f>
        <v>0</v>
      </c>
      <c r="H58" s="85"/>
      <c r="I58" s="81">
        <f aca="true" t="shared" si="7" ref="I58:I63">IF(H$13=$A58,1,0)</f>
        <v>0</v>
      </c>
      <c r="J58" s="76">
        <f>IF(C58=0,0,'Цены Жалюзи'!$R$87)</f>
        <v>0</v>
      </c>
      <c r="K58" s="76">
        <f>IF(E58=0,0,'Цены Жалюзи'!$R$87)</f>
        <v>0</v>
      </c>
      <c r="L58" s="76">
        <f>IF(G58=0,0,'Цены Жалюзи'!$R$87)</f>
        <v>0</v>
      </c>
      <c r="M58" s="76">
        <f>IF(I58=0,0,'Цены Жалюзи'!$R$87)</f>
        <v>0</v>
      </c>
      <c r="O58" s="13"/>
    </row>
    <row r="59" spans="1:15" ht="15.75" customHeight="1">
      <c r="A59" s="67" t="s">
        <v>63</v>
      </c>
      <c r="B59" s="84"/>
      <c r="C59" s="79">
        <f t="shared" si="4"/>
        <v>0</v>
      </c>
      <c r="D59" s="85"/>
      <c r="E59" s="79">
        <f t="shared" si="5"/>
        <v>0</v>
      </c>
      <c r="F59" s="85"/>
      <c r="G59" s="79">
        <f t="shared" si="6"/>
        <v>0</v>
      </c>
      <c r="H59" s="85"/>
      <c r="I59" s="81">
        <f t="shared" si="7"/>
        <v>0</v>
      </c>
      <c r="J59" s="76">
        <f>IF(C59=0,0,'Цены Жалюзи'!$R$88)</f>
        <v>0</v>
      </c>
      <c r="K59" s="76">
        <f>IF(E59=0,0,'Цены Жалюзи'!$R$88)</f>
        <v>0</v>
      </c>
      <c r="L59" s="76">
        <f>IF(G59=0,0,'Цены Жалюзи'!$R$88)</f>
        <v>0</v>
      </c>
      <c r="M59" s="76">
        <f>IF(I59=0,0,'Цены Жалюзи'!$R$88)</f>
        <v>0</v>
      </c>
      <c r="O59" s="13"/>
    </row>
    <row r="60" spans="1:15" ht="15.75" customHeight="1">
      <c r="A60" s="67" t="s">
        <v>64</v>
      </c>
      <c r="B60" s="84"/>
      <c r="C60" s="79">
        <f t="shared" si="4"/>
        <v>0</v>
      </c>
      <c r="D60" s="86"/>
      <c r="E60" s="79">
        <f t="shared" si="5"/>
        <v>0</v>
      </c>
      <c r="F60" s="85"/>
      <c r="G60" s="79">
        <f t="shared" si="6"/>
        <v>0</v>
      </c>
      <c r="H60" s="85"/>
      <c r="I60" s="81">
        <f t="shared" si="7"/>
        <v>0</v>
      </c>
      <c r="J60" s="76">
        <f>IF(C60=0,0,'Цены Жалюзи'!$R$89)</f>
        <v>0</v>
      </c>
      <c r="K60" s="76">
        <f>IF(E60=0,0,'Цены Жалюзи'!$R$89)</f>
        <v>0</v>
      </c>
      <c r="L60" s="76">
        <f>IF(G60=0,0,'Цены Жалюзи'!$R$89)</f>
        <v>0</v>
      </c>
      <c r="M60" s="76">
        <f>IF(I60=0,0,'Цены Жалюзи'!$R$89)</f>
        <v>0</v>
      </c>
      <c r="O60" s="13"/>
    </row>
    <row r="61" spans="1:15" ht="15.75" customHeight="1">
      <c r="A61" s="53" t="s">
        <v>70</v>
      </c>
      <c r="B61" s="87"/>
      <c r="C61" s="79">
        <f t="shared" si="4"/>
        <v>0</v>
      </c>
      <c r="D61" s="86"/>
      <c r="E61" s="79">
        <f t="shared" si="5"/>
        <v>0</v>
      </c>
      <c r="F61" s="86"/>
      <c r="G61" s="79">
        <f t="shared" si="6"/>
        <v>0</v>
      </c>
      <c r="H61" s="86"/>
      <c r="I61" s="81">
        <f t="shared" si="7"/>
        <v>0</v>
      </c>
      <c r="J61" s="76">
        <f>IF(C61=0,0,'Цены Жалюзи'!$R$90)</f>
        <v>0</v>
      </c>
      <c r="K61" s="76">
        <f>IF(E61=0,0,'Цены Жалюзи'!$R$90)</f>
        <v>0</v>
      </c>
      <c r="L61" s="76">
        <f>IF(G61=0,0,'Цены Жалюзи'!$R$90)</f>
        <v>0</v>
      </c>
      <c r="M61" s="76">
        <f>IF(I61=0,0,'Цены Жалюзи'!$R$90)</f>
        <v>0</v>
      </c>
      <c r="O61" s="13"/>
    </row>
    <row r="62" spans="1:15" ht="15.75" customHeight="1">
      <c r="A62" s="53" t="s">
        <v>77</v>
      </c>
      <c r="B62" s="87"/>
      <c r="C62" s="79">
        <f t="shared" si="4"/>
        <v>0</v>
      </c>
      <c r="D62" s="86"/>
      <c r="E62" s="79">
        <f t="shared" si="5"/>
        <v>0</v>
      </c>
      <c r="F62" s="86"/>
      <c r="G62" s="79">
        <f t="shared" si="6"/>
        <v>0</v>
      </c>
      <c r="H62" s="86"/>
      <c r="I62" s="81">
        <f t="shared" si="7"/>
        <v>0</v>
      </c>
      <c r="J62" s="76">
        <f>IF(C62=0,0,'Цены Жалюзи'!$R$91)</f>
        <v>0</v>
      </c>
      <c r="K62" s="76">
        <f>IF(E62=0,0,'Цены Жалюзи'!$R$91)</f>
        <v>0</v>
      </c>
      <c r="L62" s="76">
        <f>IF(G62=0,0,'Цены Жалюзи'!$R$91)</f>
        <v>0</v>
      </c>
      <c r="M62" s="76">
        <f>IF(I62=0,0,'Цены Жалюзи'!$R$91)</f>
        <v>0</v>
      </c>
      <c r="O62" s="13"/>
    </row>
    <row r="63" spans="1:15" ht="15.75" customHeight="1">
      <c r="A63" s="67" t="s">
        <v>79</v>
      </c>
      <c r="B63" s="87"/>
      <c r="C63" s="79">
        <f t="shared" si="4"/>
        <v>0</v>
      </c>
      <c r="D63" s="86"/>
      <c r="E63" s="79">
        <f t="shared" si="5"/>
        <v>0</v>
      </c>
      <c r="F63" s="86"/>
      <c r="G63" s="79">
        <f t="shared" si="6"/>
        <v>0</v>
      </c>
      <c r="H63" s="86"/>
      <c r="I63" s="81">
        <f t="shared" si="7"/>
        <v>0</v>
      </c>
      <c r="J63" s="76">
        <f>IF(C63=0,0,'Цены Жалюзи'!$R$92)</f>
        <v>0</v>
      </c>
      <c r="K63" s="76">
        <f>IF(E63=0,0,'Цены Жалюзи'!$R$92)</f>
        <v>0</v>
      </c>
      <c r="L63" s="76">
        <f>IF(G63=0,0,'Цены Жалюзи'!$R$92)</f>
        <v>0</v>
      </c>
      <c r="M63" s="76">
        <f>IF(I63=0,0,'Цены Жалюзи'!$R$92)</f>
        <v>0</v>
      </c>
      <c r="O63" s="13"/>
    </row>
    <row r="64" spans="1:15" ht="16.5" customHeight="1">
      <c r="A64" s="101" t="s">
        <v>82</v>
      </c>
      <c r="B64" s="106"/>
      <c r="C64" s="107"/>
      <c r="D64" s="111"/>
      <c r="E64" s="112"/>
      <c r="F64" s="110"/>
      <c r="G64" s="107"/>
      <c r="H64" s="110"/>
      <c r="I64" s="106"/>
      <c r="J64" s="75"/>
      <c r="K64" s="75"/>
      <c r="L64" s="75"/>
      <c r="M64" s="75"/>
      <c r="O64" s="13"/>
    </row>
    <row r="65" spans="1:15" ht="16.5" customHeight="1">
      <c r="A65" s="67" t="s">
        <v>257</v>
      </c>
      <c r="B65" s="78" t="str">
        <f>VLOOKUP(B12,Данные!$A$35:$M$40,4,FALSE)</f>
        <v>-</v>
      </c>
      <c r="C65" s="79">
        <f>VLOOKUP(B12,Данные!$A$35:$M$40,3,FALSE)</f>
        <v>0</v>
      </c>
      <c r="D65" s="80" t="str">
        <f>VLOOKUP(D12,Данные!$A$35:$M$40,4,FALSE)</f>
        <v>-</v>
      </c>
      <c r="E65" s="79">
        <f>VLOOKUP(D12,Данные!$A$35:$M$40,3,FALSE)</f>
        <v>0</v>
      </c>
      <c r="F65" s="80" t="str">
        <f>VLOOKUP(F12,Данные!$A$35:$M$40,4,FALSE)</f>
        <v>-</v>
      </c>
      <c r="G65" s="79">
        <f>VLOOKUP(F12,Данные!$A$35:$M$40,3,FALSE)</f>
        <v>0</v>
      </c>
      <c r="H65" s="80" t="str">
        <f>VLOOKUP(H12,Данные!$A$35:$M$40,4,FALSE)</f>
        <v>-</v>
      </c>
      <c r="I65" s="81">
        <f>VLOOKUP(H12,Данные!$A$35:$M$40,3,FALSE)</f>
        <v>0</v>
      </c>
      <c r="J65" s="76">
        <f>IF(C65=0,0,VLOOKUP($A$18,'Цены Жалюзи'!$B$37:$R$61,3,FALSE)*B65*C65)</f>
        <v>0</v>
      </c>
      <c r="K65" s="76">
        <f>IF(E65=0,0,VLOOKUP($A$18,'Цены Жалюзи'!$B$37:$R$61,3,FALSE)*D65*E65)</f>
        <v>0</v>
      </c>
      <c r="L65" s="76">
        <f>IF(G65=0,0,VLOOKUP($A$18,'Цены Жалюзи'!$B$37:$R$61,3,FALSE)*F65*G65)</f>
        <v>0</v>
      </c>
      <c r="M65" s="76">
        <f>IF(I65=0,0,VLOOKUP($A$18,'Цены Жалюзи'!$B$37:$R$61,3,FALSE)*H65*I65)</f>
        <v>0</v>
      </c>
      <c r="O65" s="13"/>
    </row>
    <row r="66" spans="1:15" ht="16.5" customHeight="1">
      <c r="A66" s="67" t="s">
        <v>126</v>
      </c>
      <c r="B66" s="78" t="str">
        <f>VLOOKUP(B12,Данные!$A$35:$M$40,6,FALSE)</f>
        <v>-</v>
      </c>
      <c r="C66" s="88">
        <f>VLOOKUP(B12,Данные!$A$35:$M$40,5,FALSE)</f>
        <v>0</v>
      </c>
      <c r="D66" s="80" t="str">
        <f>VLOOKUP(D12,Данные!$A$35:$M$40,6,FALSE)</f>
        <v>-</v>
      </c>
      <c r="E66" s="88">
        <f>VLOOKUP(D12,Данные!$A$35:$M$40,5,FALSE)</f>
        <v>0</v>
      </c>
      <c r="F66" s="80" t="str">
        <f>VLOOKUP(F12,Данные!$A$35:$M$40,6,FALSE)</f>
        <v>-</v>
      </c>
      <c r="G66" s="88">
        <f>VLOOKUP(F12,Данные!$A$35:$M$40,5,FALSE)</f>
        <v>0</v>
      </c>
      <c r="H66" s="80" t="str">
        <f>VLOOKUP(H12,Данные!$A$35:$M$40,6,FALSE)</f>
        <v>-</v>
      </c>
      <c r="I66" s="78">
        <f>VLOOKUP(H12,Данные!$A$35:$M$40,5,FALSE)</f>
        <v>0</v>
      </c>
      <c r="J66" s="76">
        <f>IF(C66=0,0,VLOOKUP($A$18,'Цены Жалюзи'!$B$37:$R$61,13,FALSE)*B66*C66)</f>
        <v>0</v>
      </c>
      <c r="K66" s="76">
        <f>IF(E66=0,0,VLOOKUP($A$18,'Цены Жалюзи'!$B$37:$R$61,13,FALSE)*D66*E66)</f>
        <v>0</v>
      </c>
      <c r="L66" s="76">
        <f>IF(G66=0,0,VLOOKUP($A$18,'Цены Жалюзи'!$B$37:$R$61,13,FALSE)*F66*G66)</f>
        <v>0</v>
      </c>
      <c r="M66" s="76">
        <f>IF(I66=0,0,VLOOKUP($A$18,'Цены Жалюзи'!$B$37:$R$61,13,FALSE)*H66*I66)</f>
        <v>0</v>
      </c>
      <c r="O66" s="13"/>
    </row>
    <row r="67" spans="1:15" ht="16.5" customHeight="1">
      <c r="A67" s="67" t="s">
        <v>262</v>
      </c>
      <c r="B67" s="78" t="str">
        <f>VLOOKUP(B12,Данные!$A$35:$M$40,8,FALSE)</f>
        <v>-</v>
      </c>
      <c r="C67" s="88">
        <f>VLOOKUP(B12,Данные!$A$35:$M$40,7,FALSE)</f>
        <v>0</v>
      </c>
      <c r="D67" s="80" t="str">
        <f>VLOOKUP(D12,Данные!$A$35:$M$40,8,FALSE)</f>
        <v>-</v>
      </c>
      <c r="E67" s="88">
        <f>VLOOKUP(D12,Данные!$A$35:$M$40,7,FALSE)</f>
        <v>0</v>
      </c>
      <c r="F67" s="80" t="str">
        <f>VLOOKUP(F12,Данные!$A$35:$M$40,8,FALSE)</f>
        <v>-</v>
      </c>
      <c r="G67" s="88">
        <f>VLOOKUP(F12,Данные!$A$35:$M$40,7,FALSE)</f>
        <v>0</v>
      </c>
      <c r="H67" s="80" t="str">
        <f>VLOOKUP(H12,Данные!$A$35:$M$40,8,FALSE)</f>
        <v>-</v>
      </c>
      <c r="I67" s="78">
        <f>VLOOKUP(H12,Данные!$A$35:$M$40,7,FALSE)</f>
        <v>0</v>
      </c>
      <c r="J67" s="76">
        <f>IF(C67=0,0,VLOOKUP($A$18,'Цены Жалюзи'!$B$37:$R$61,12,FALSE)*B67*C67)</f>
        <v>0</v>
      </c>
      <c r="K67" s="76">
        <f>IF(E67=0,0,VLOOKUP($A$18,'Цены Жалюзи'!$B$37:$R$61,12,FALSE)*D67*E67)</f>
        <v>0</v>
      </c>
      <c r="L67" s="76">
        <f>IF(G67=0,0,VLOOKUP($A$18,'Цены Жалюзи'!$B$37:$R$61,12,FALSE)*F67*G67)</f>
        <v>0</v>
      </c>
      <c r="M67" s="76">
        <f>IF(I67=0,0,VLOOKUP($A$18,'Цены Жалюзи'!$B$37:$R$61,12,FALSE)*H67*I67)</f>
        <v>0</v>
      </c>
      <c r="O67" s="13"/>
    </row>
    <row r="68" spans="1:15" ht="16.5" customHeight="1">
      <c r="A68" s="67" t="s">
        <v>34</v>
      </c>
      <c r="B68" s="78" t="str">
        <f>IF(C68=0,"-","5,5х19")</f>
        <v>-</v>
      </c>
      <c r="C68" s="79">
        <f>VLOOKUP(B12,Данные!$A$35:$M$40,13,FALSE)</f>
        <v>0</v>
      </c>
      <c r="D68" s="80" t="str">
        <f>IF(E68=0,"-","5,5х19")</f>
        <v>-</v>
      </c>
      <c r="E68" s="79">
        <f>VLOOKUP(D12,Данные!$A$35:$M$40,13,FALSE)</f>
        <v>0</v>
      </c>
      <c r="F68" s="80" t="str">
        <f>IF(G68=0,"-","5,5х19")</f>
        <v>-</v>
      </c>
      <c r="G68" s="79">
        <f>VLOOKUP(F12,Данные!$A$35:$M$40,13,FALSE)</f>
        <v>0</v>
      </c>
      <c r="H68" s="80" t="str">
        <f>IF(I68=0,"-","5,5х19")</f>
        <v>-</v>
      </c>
      <c r="I68" s="81">
        <f>VLOOKUP(H12,Данные!$A$35:$M$40,13,FALSE)</f>
        <v>0</v>
      </c>
      <c r="J68" s="76">
        <f>IF(C68=0,0,IF(OR($A$18="Цинк 0,5",$A$18="Цинк 0,55"),C68*'Цены Жалюзи'!$C$73,C68*'Цены Жалюзи'!$C$74))</f>
        <v>0</v>
      </c>
      <c r="K68" s="76">
        <f>IF(E68=0,0,IF(OR($A$18="Цинк 0,5",$A$18="Цинк 0,55"),E68*'Цены Жалюзи'!$C$73,E68*'Цены Жалюзи'!$C$74))</f>
        <v>0</v>
      </c>
      <c r="L68" s="76">
        <f>IF(G68=0,0,IF(OR($A$18="Цинк 0,5",$A$18="Цинк 0,55"),G68*'Цены Жалюзи'!$C$73,G68*'Цены Жалюзи'!$C$74))</f>
        <v>0</v>
      </c>
      <c r="M68" s="76">
        <f>IF(I68=0,0,IF(OR($A$18="Цинк 0,5",$A$18="Цинк 0,55"),I68*'Цены Жалюзи'!$C$73,I68*'Цены Жалюзи'!$C$74))</f>
        <v>0</v>
      </c>
      <c r="O68" s="13"/>
    </row>
    <row r="69" spans="1:15" ht="16.5" customHeight="1">
      <c r="A69" s="53" t="s">
        <v>94</v>
      </c>
      <c r="B69" s="78" t="s">
        <v>28</v>
      </c>
      <c r="C69" s="79">
        <f>VLOOKUP(B12,Данные!$A$35:$M$40,9,FALSE)</f>
        <v>0</v>
      </c>
      <c r="D69" s="80" t="s">
        <v>28</v>
      </c>
      <c r="E69" s="79">
        <f>VLOOKUP(D12,Данные!$A$35:$M$40,9,FALSE)</f>
        <v>0</v>
      </c>
      <c r="F69" s="80" t="s">
        <v>28</v>
      </c>
      <c r="G69" s="79">
        <f>VLOOKUP(F12,Данные!$A$35:$M$40,9,FALSE)</f>
        <v>0</v>
      </c>
      <c r="H69" s="80" t="s">
        <v>28</v>
      </c>
      <c r="I69" s="81">
        <f>VLOOKUP(H12,Данные!$A$35:$M$40,9,FALSE)</f>
        <v>0</v>
      </c>
      <c r="J69" s="76">
        <f>IF(C69=0,0,VLOOKUP($A$18,'Цены Жалюзи'!$B$37:$R$61,15,FALSE)*C69)</f>
        <v>0</v>
      </c>
      <c r="K69" s="76">
        <f>IF(E69=0,0,VLOOKUP($A$18,'Цены Жалюзи'!$B$37:$R$61,15,FALSE)*E69)</f>
        <v>0</v>
      </c>
      <c r="L69" s="76">
        <f>IF(G69=0,0,VLOOKUP($A$18,'Цены Жалюзи'!$B$37:$R$61,15,FALSE)*G69)</f>
        <v>0</v>
      </c>
      <c r="M69" s="76">
        <f>IF(I69=0,0,VLOOKUP($A$18,'Цены Жалюзи'!$B$37:$R$61,15,FALSE)*I69)</f>
        <v>0</v>
      </c>
      <c r="O69" s="13"/>
    </row>
    <row r="70" spans="1:15" ht="16.5" customHeight="1">
      <c r="A70" s="53" t="s">
        <v>97</v>
      </c>
      <c r="B70" s="78" t="s">
        <v>28</v>
      </c>
      <c r="C70" s="79">
        <f>VLOOKUP(B12,Данные!$A$35:$M$40,10,FALSE)</f>
        <v>0</v>
      </c>
      <c r="D70" s="80" t="s">
        <v>28</v>
      </c>
      <c r="E70" s="79">
        <f>VLOOKUP(D12,Данные!$A$35:$M$40,10,FALSE)</f>
        <v>0</v>
      </c>
      <c r="F70" s="80" t="s">
        <v>28</v>
      </c>
      <c r="G70" s="79">
        <f>VLOOKUP(F12,Данные!$A$35:$M$40,10,FALSE)</f>
        <v>0</v>
      </c>
      <c r="H70" s="80" t="s">
        <v>28</v>
      </c>
      <c r="I70" s="81">
        <f>VLOOKUP(H12,Данные!$A$35:$M$40,10,FALSE)</f>
        <v>0</v>
      </c>
      <c r="J70" s="76">
        <f>IF(C70=0,0,VLOOKUP($A$18,'Цены Жалюзи'!$B$37:$R$61,16,FALSE)*C70)</f>
        <v>0</v>
      </c>
      <c r="K70" s="76">
        <f>IF(E70=0,0,VLOOKUP($A$18,'Цены Жалюзи'!$B$37:$R$61,16,FALSE)*E70)</f>
        <v>0</v>
      </c>
      <c r="L70" s="76">
        <f>IF(G70=0,0,VLOOKUP($A$18,'Цены Жалюзи'!$B$37:$R$61,16,FALSE)*G70)</f>
        <v>0</v>
      </c>
      <c r="M70" s="76">
        <f>IF(I70=0,0,VLOOKUP($A$18,'Цены Жалюзи'!$B$37:$R$61,16,FALSE)*I70)</f>
        <v>0</v>
      </c>
      <c r="O70" s="13"/>
    </row>
    <row r="71" spans="1:15" ht="16.5" customHeight="1">
      <c r="A71" s="53" t="s">
        <v>343</v>
      </c>
      <c r="B71" s="78" t="s">
        <v>28</v>
      </c>
      <c r="C71" s="79">
        <f>VLOOKUP(B12,Данные!$A$35:$M$40,11,FALSE)</f>
        <v>0</v>
      </c>
      <c r="D71" s="80" t="s">
        <v>28</v>
      </c>
      <c r="E71" s="79">
        <f>VLOOKUP(D13,Данные!$A$35:$M$40,11,FALSE)</f>
        <v>0</v>
      </c>
      <c r="F71" s="80" t="s">
        <v>28</v>
      </c>
      <c r="G71" s="79">
        <f>VLOOKUP(F13,Данные!$A$35:$M$40,11,FALSE)</f>
        <v>0</v>
      </c>
      <c r="H71" s="80" t="s">
        <v>28</v>
      </c>
      <c r="I71" s="81">
        <f>VLOOKUP(H13,Данные!$A$35:$M$40,11,FALSE)</f>
        <v>0</v>
      </c>
      <c r="J71" s="76">
        <f>IF(C71=0,0,VLOOKUP($A$18,'Цены Жалюзи'!$B$37:$R$61,17,FALSE)*C71)</f>
        <v>0</v>
      </c>
      <c r="K71" s="76">
        <f>IF(E71=0,0,VLOOKUP($A$18,'Цены Жалюзи'!$B$37:$R$61,17,FALSE)*E71)</f>
        <v>0</v>
      </c>
      <c r="L71" s="76">
        <f>IF(G71=0,0,VLOOKUP($A$18,'Цены Жалюзи'!$B$37:$R$61,17,FALSE)*G71)</f>
        <v>0</v>
      </c>
      <c r="M71" s="76">
        <f>IF(I71=0,0,VLOOKUP($A$18,'Цены Жалюзи'!$B$37:$R$61,17,FALSE)*I71)</f>
        <v>0</v>
      </c>
      <c r="O71" s="13"/>
    </row>
    <row r="72" spans="1:15" ht="16.5" customHeight="1">
      <c r="A72" s="101" t="s">
        <v>99</v>
      </c>
      <c r="B72" s="106"/>
      <c r="C72" s="107"/>
      <c r="D72" s="110"/>
      <c r="E72" s="107"/>
      <c r="F72" s="110"/>
      <c r="G72" s="107"/>
      <c r="H72" s="110"/>
      <c r="I72" s="106"/>
      <c r="J72" s="75"/>
      <c r="K72" s="75"/>
      <c r="L72" s="75"/>
      <c r="M72" s="75"/>
      <c r="O72" s="13"/>
    </row>
    <row r="73" spans="1:15" ht="16.5" customHeight="1">
      <c r="A73" s="67" t="s">
        <v>257</v>
      </c>
      <c r="B73" s="78" t="str">
        <f>IF(C73=0,"-",VLOOKUP(B13,Данные!$A$42:$M$59,4,FALSE))</f>
        <v>-</v>
      </c>
      <c r="C73" s="79">
        <f>VLOOKUP(B13,Данные!$A$42:$M$59,3,FALSE)</f>
        <v>0</v>
      </c>
      <c r="D73" s="80" t="str">
        <f>IF(E73=0,"-",VLOOKUP(D13,Данные!$A$42:$M$59,4,FALSE))</f>
        <v>-</v>
      </c>
      <c r="E73" s="79">
        <f>VLOOKUP(D13,Данные!$A$42:$M$59,3,FALSE)</f>
        <v>0</v>
      </c>
      <c r="F73" s="80" t="str">
        <f>IF(G73=0,"-",VLOOKUP(F13,Данные!$A$42:$M$59,4,FALSE))</f>
        <v>-</v>
      </c>
      <c r="G73" s="79">
        <f>VLOOKUP(F13,Данные!$A$42:$M$59,3,FALSE)</f>
        <v>0</v>
      </c>
      <c r="H73" s="80" t="str">
        <f>IF(I73=0,"-",VLOOKUP(H13,Данные!$A$42:$M$59,4,FALSE))</f>
        <v>-</v>
      </c>
      <c r="I73" s="81">
        <f>VLOOKUP(H13,Данные!$A$42:$M$59,3,FALSE)</f>
        <v>0</v>
      </c>
      <c r="J73" s="76">
        <f>IF(C73=0,0,VLOOKUP($A$18,'Цены Жалюзи'!$B$37:$R$61,3,FALSE)*B73*C73)</f>
        <v>0</v>
      </c>
      <c r="K73" s="76">
        <f>IF(E73=0,0,VLOOKUP($A$18,'Цены Жалюзи'!$B$37:$R$61,3,FALSE)*D73*E73)</f>
        <v>0</v>
      </c>
      <c r="L73" s="76">
        <f>IF(G73=0,0,VLOOKUP($A$18,'Цены Жалюзи'!$B$37:$R$61,3,FALSE)*F73*G73)</f>
        <v>0</v>
      </c>
      <c r="M73" s="76">
        <f>IF(I73=0,0,VLOOKUP($A$18,'Цены Жалюзи'!$B$37:$R$61,3,FALSE)*H73*I73)</f>
        <v>0</v>
      </c>
      <c r="O73" s="13"/>
    </row>
    <row r="74" spans="1:34" ht="16.5" customHeight="1">
      <c r="A74" s="67" t="s">
        <v>126</v>
      </c>
      <c r="B74" s="78" t="str">
        <f>VLOOKUP(B13,Данные!$A$42:$M$59,6,FALSE)</f>
        <v>-</v>
      </c>
      <c r="C74" s="79">
        <f>VLOOKUP(B13,Данные!$A$42:$M$59,5,FALSE)</f>
        <v>0</v>
      </c>
      <c r="D74" s="80" t="str">
        <f>VLOOKUP(D13,Данные!$A$42:$M$59,6,FALSE)</f>
        <v>-</v>
      </c>
      <c r="E74" s="79">
        <f>VLOOKUP(D13,Данные!$A$42:$M$59,5,FALSE)</f>
        <v>0</v>
      </c>
      <c r="F74" s="80" t="str">
        <f>VLOOKUP(F13,Данные!$A$42:$M$59,6,FALSE)</f>
        <v>-</v>
      </c>
      <c r="G74" s="79">
        <f>VLOOKUP(F13,Данные!$A$42:$M$59,5,FALSE)</f>
        <v>0</v>
      </c>
      <c r="H74" s="80" t="str">
        <f>VLOOKUP(H13,Данные!$A$42:$M$59,6,FALSE)</f>
        <v>-</v>
      </c>
      <c r="I74" s="81">
        <f>VLOOKUP(H13,Данные!$A$42:$M$59,5,FALSE)</f>
        <v>0</v>
      </c>
      <c r="J74" s="76">
        <f>IF(C74=0,0,VLOOKUP($A$18,'Цены Жалюзи'!$B$37:$R$61,13,FALSE)*B74*C74)</f>
        <v>0</v>
      </c>
      <c r="K74" s="76">
        <f>IF(E74=0,0,VLOOKUP($A$18,'Цены Жалюзи'!$B$37:$R$61,13,FALSE)*D74*E74)</f>
        <v>0</v>
      </c>
      <c r="L74" s="76">
        <f>IF(G74=0,0,VLOOKUP($A$18,'Цены Жалюзи'!$B$37:$R$61,13,FALSE)*F74*G74)</f>
        <v>0</v>
      </c>
      <c r="M74" s="76">
        <f>IF(I74=0,0,VLOOKUP($A$18,'Цены Жалюзи'!$B$37:$R$61,13,FALSE)*H74*I74)</f>
        <v>0</v>
      </c>
      <c r="O74" s="13"/>
      <c r="V74" s="14"/>
      <c r="W74" s="6"/>
      <c r="X74" s="6"/>
      <c r="Y74" s="6"/>
      <c r="Z74" s="6"/>
      <c r="AA74" s="6"/>
      <c r="AB74" s="6"/>
      <c r="AC74" s="6"/>
      <c r="AD74" s="16"/>
      <c r="AE74" s="13"/>
      <c r="AF74" s="17"/>
      <c r="AG74" s="17"/>
      <c r="AH74" s="17"/>
    </row>
    <row r="75" spans="1:34" ht="16.5" customHeight="1">
      <c r="A75" s="67" t="s">
        <v>262</v>
      </c>
      <c r="B75" s="78" t="str">
        <f>VLOOKUP(B13,Данные!$A$42:$M$59,8,FALSE)</f>
        <v>-</v>
      </c>
      <c r="C75" s="79">
        <f>VLOOKUP(B13,Данные!$A$42:$M$59,7,FALSE)</f>
        <v>0</v>
      </c>
      <c r="D75" s="80" t="str">
        <f>VLOOKUP(D13,Данные!$A$42:$M$59,8,FALSE)</f>
        <v>-</v>
      </c>
      <c r="E75" s="79">
        <f>VLOOKUP(D13,Данные!$A$42:$M$59,7,FALSE)</f>
        <v>0</v>
      </c>
      <c r="F75" s="80" t="str">
        <f>VLOOKUP(F13,Данные!$A$42:$M$59,8,FALSE)</f>
        <v>-</v>
      </c>
      <c r="G75" s="79">
        <f>VLOOKUP(F13,Данные!$A$42:$M$59,7,FALSE)</f>
        <v>0</v>
      </c>
      <c r="H75" s="80" t="str">
        <f>VLOOKUP(H13,Данные!$A$42:$M$59,8,FALSE)</f>
        <v>-</v>
      </c>
      <c r="I75" s="81">
        <f>VLOOKUP(H13,Данные!$A$42:$M$59,7,FALSE)</f>
        <v>0</v>
      </c>
      <c r="J75" s="76">
        <f>IF(C75=0,0,VLOOKUP($A$18,'Цены Жалюзи'!$B$37:$R$61,12,FALSE)*B75*C75)</f>
        <v>0</v>
      </c>
      <c r="K75" s="76">
        <f>IF(E75=0,0,VLOOKUP($A$18,'Цены Жалюзи'!$B$37:$R$61,12,FALSE)*D75*E75)</f>
        <v>0</v>
      </c>
      <c r="L75" s="76">
        <f>IF(G75=0,0,VLOOKUP($A$18,'Цены Жалюзи'!$B$37:$R$61,12,FALSE)*F75*G75)</f>
        <v>0</v>
      </c>
      <c r="M75" s="76">
        <f>IF(I75=0,0,VLOOKUP($A$18,'Цены Жалюзи'!$B$37:$R$61,12,FALSE)*H75*I75)</f>
        <v>0</v>
      </c>
      <c r="O75" s="13"/>
      <c r="V75" s="14"/>
      <c r="W75" s="6"/>
      <c r="X75" s="6"/>
      <c r="Y75" s="6"/>
      <c r="Z75" s="6"/>
      <c r="AA75" s="6"/>
      <c r="AB75" s="6"/>
      <c r="AC75" s="6"/>
      <c r="AD75" s="16"/>
      <c r="AE75" s="13"/>
      <c r="AF75" s="17"/>
      <c r="AG75" s="17"/>
      <c r="AH75" s="17"/>
    </row>
    <row r="76" spans="1:37" ht="16.5" customHeight="1">
      <c r="A76" s="67" t="s">
        <v>34</v>
      </c>
      <c r="B76" s="78" t="str">
        <f>IF(C76=0,"-","5,5х19")</f>
        <v>-</v>
      </c>
      <c r="C76" s="79">
        <f>VLOOKUP(B13,Данные!$A$42:$M$59,13,FALSE)</f>
        <v>0</v>
      </c>
      <c r="D76" s="80" t="str">
        <f>IF(E76=0,"-","5,5х19")</f>
        <v>-</v>
      </c>
      <c r="E76" s="79">
        <f>VLOOKUP(D13,Данные!$A$42:$M$59,13,FALSE)</f>
        <v>0</v>
      </c>
      <c r="F76" s="80" t="str">
        <f>IF(G76=0,"-","5,5х19")</f>
        <v>-</v>
      </c>
      <c r="G76" s="79">
        <f>VLOOKUP(F13,Данные!$A$42:$M$59,13,FALSE)</f>
        <v>0</v>
      </c>
      <c r="H76" s="80" t="str">
        <f>IF(I76=0,"-","5,5х19")</f>
        <v>-</v>
      </c>
      <c r="I76" s="81">
        <f>VLOOKUP(H13,Данные!$A$42:$M$59,13,FALSE)</f>
        <v>0</v>
      </c>
      <c r="J76" s="183">
        <f>IF(C76=0,0,IF(OR($A$18="Цинк 0,5",$A$18="Цинк 0,55"),C76*'Цены Жалюзи'!$C$73,C76*'Цены Жалюзи'!$C$74))</f>
        <v>0</v>
      </c>
      <c r="K76" s="183">
        <f>IF(E76=0,0,IF(OR($A$18="Цинк 0,5",$A$18="Цинк 0,55"),E76*'Цены Жалюзи'!$C$73,E76*'Цены Жалюзи'!$C$74))</f>
        <v>0</v>
      </c>
      <c r="L76" s="183">
        <f>IF(G76=0,0,IF(OR($A$18="Цинк 0,5",$A$18="Цинк 0,55"),G76*'Цены Жалюзи'!$C$73,G76*'Цены Жалюзи'!$C$74))</f>
        <v>0</v>
      </c>
      <c r="M76" s="183">
        <f>IF(I76=0,0,IF(OR($A$18="Цинк 0,5",$A$18="Цинк 0,55"),I76*'Цены Жалюзи'!$C$73,I76*'Цены Жалюзи'!$C$74))</f>
        <v>0</v>
      </c>
      <c r="O76" s="13"/>
      <c r="V76" s="14"/>
      <c r="W76" s="6"/>
      <c r="X76" s="6"/>
      <c r="Y76" s="6"/>
      <c r="Z76" s="6"/>
      <c r="AA76" s="6"/>
      <c r="AB76" s="6"/>
      <c r="AC76" s="6"/>
      <c r="AD76" s="17"/>
      <c r="AE76" s="17"/>
      <c r="AF76" s="18"/>
      <c r="AG76" s="17"/>
      <c r="AH76" s="13"/>
      <c r="AI76" s="17"/>
      <c r="AJ76" s="17"/>
      <c r="AK76" s="17"/>
    </row>
    <row r="77" spans="1:37" ht="16.5" customHeight="1">
      <c r="A77" s="53" t="s">
        <v>94</v>
      </c>
      <c r="B77" s="78" t="s">
        <v>28</v>
      </c>
      <c r="C77" s="79">
        <f>VLOOKUP(B13,Данные!$A$42:$M$59,9,FALSE)</f>
        <v>0</v>
      </c>
      <c r="D77" s="80" t="s">
        <v>28</v>
      </c>
      <c r="E77" s="79">
        <f>VLOOKUP(D13,Данные!$A$42:$M$59,9,FALSE)</f>
        <v>0</v>
      </c>
      <c r="F77" s="80" t="s">
        <v>28</v>
      </c>
      <c r="G77" s="79">
        <f>VLOOKUP(F13,Данные!$A$42:$M$59,9,FALSE)</f>
        <v>0</v>
      </c>
      <c r="H77" s="80" t="s">
        <v>28</v>
      </c>
      <c r="I77" s="81">
        <f>VLOOKUP(H13,Данные!$A$42:$M$59,9,FALSE)</f>
        <v>0</v>
      </c>
      <c r="J77" s="76">
        <f>IF(C77=0,0,VLOOKUP($A$18,'Цены Жалюзи'!$B$37:$R$61,15,FALSE)*C77)</f>
        <v>0</v>
      </c>
      <c r="K77" s="76">
        <f>IF(E77=0,0,VLOOKUP($A$18,'Цены Жалюзи'!$B$37:$R$61,15,FALSE)*E77)</f>
        <v>0</v>
      </c>
      <c r="L77" s="76">
        <f>IF(G77=0,0,VLOOKUP($A$18,'Цены Жалюзи'!$B$37:$R$61,15,FALSE)*G77)</f>
        <v>0</v>
      </c>
      <c r="M77" s="76">
        <f>IF(I77=0,0,VLOOKUP($A$18,'Цены Жалюзи'!$B$37:$R$61,15,FALSE)*I77)</f>
        <v>0</v>
      </c>
      <c r="O77" s="13"/>
      <c r="V77" s="14"/>
      <c r="W77" s="6"/>
      <c r="X77" s="6"/>
      <c r="Y77" s="6"/>
      <c r="Z77" s="6"/>
      <c r="AA77" s="6"/>
      <c r="AB77" s="6"/>
      <c r="AC77" s="6"/>
      <c r="AD77" s="19"/>
      <c r="AE77" s="17"/>
      <c r="AF77" s="18"/>
      <c r="AG77" s="17"/>
      <c r="AH77" s="13"/>
      <c r="AI77" s="17"/>
      <c r="AJ77" s="17"/>
      <c r="AK77" s="17"/>
    </row>
    <row r="78" spans="1:37" ht="16.5" customHeight="1">
      <c r="A78" s="53" t="s">
        <v>97</v>
      </c>
      <c r="B78" s="78" t="s">
        <v>28</v>
      </c>
      <c r="C78" s="79">
        <f>VLOOKUP(B13,Данные!$A$42:$M$59,10,FALSE)</f>
        <v>0</v>
      </c>
      <c r="D78" s="80" t="s">
        <v>28</v>
      </c>
      <c r="E78" s="79">
        <f>VLOOKUP(D13,Данные!$A$42:$M$59,10,FALSE)</f>
        <v>0</v>
      </c>
      <c r="F78" s="80" t="s">
        <v>28</v>
      </c>
      <c r="G78" s="79">
        <f>VLOOKUP(F13,Данные!$A$42:$M$59,10,FALSE)</f>
        <v>0</v>
      </c>
      <c r="H78" s="80" t="s">
        <v>28</v>
      </c>
      <c r="I78" s="81">
        <f>VLOOKUP(H13,Данные!$A$42:$M$59,10,FALSE)</f>
        <v>0</v>
      </c>
      <c r="J78" s="76">
        <f>IF(C78=0,0,VLOOKUP($A$18,'Цены Жалюзи'!$B$37:$R$61,16,FALSE)*C78)</f>
        <v>0</v>
      </c>
      <c r="K78" s="76">
        <f>IF(E78=0,0,VLOOKUP($A$18,'Цены Жалюзи'!$B$37:$R$61,16,FALSE)*E78)</f>
        <v>0</v>
      </c>
      <c r="L78" s="76">
        <f>IF(G78=0,0,VLOOKUP($A$18,'Цены Жалюзи'!$B$37:$R$61,16,FALSE)*G78)</f>
        <v>0</v>
      </c>
      <c r="M78" s="76">
        <f>IF(I78=0,0,VLOOKUP($A$18,'Цены Жалюзи'!$B$37:$R$61,16,FALSE)*I78)</f>
        <v>0</v>
      </c>
      <c r="O78" s="13"/>
      <c r="V78" s="14"/>
      <c r="W78" s="6"/>
      <c r="X78" s="6"/>
      <c r="Y78" s="6"/>
      <c r="Z78" s="6"/>
      <c r="AA78" s="6"/>
      <c r="AB78" s="6"/>
      <c r="AC78" s="6"/>
      <c r="AD78" s="19"/>
      <c r="AE78" s="17"/>
      <c r="AF78" s="18"/>
      <c r="AG78" s="17"/>
      <c r="AH78" s="13"/>
      <c r="AI78" s="17"/>
      <c r="AJ78" s="17"/>
      <c r="AK78" s="17"/>
    </row>
    <row r="79" spans="1:37" ht="16.5" customHeight="1">
      <c r="A79" s="53" t="s">
        <v>343</v>
      </c>
      <c r="B79" s="78" t="s">
        <v>28</v>
      </c>
      <c r="C79" s="79">
        <f>VLOOKUP(B13,Данные!$A$42:$M$59,11,FALSE)</f>
        <v>0</v>
      </c>
      <c r="D79" s="80" t="s">
        <v>28</v>
      </c>
      <c r="E79" s="79">
        <f>VLOOKUP(D13,Данные!$A$42:$M$59,11,FALSE)</f>
        <v>0</v>
      </c>
      <c r="F79" s="80" t="s">
        <v>28</v>
      </c>
      <c r="G79" s="79">
        <f>VLOOKUP(F13,Данные!$A$42:$M$59,11,FALSE)</f>
        <v>0</v>
      </c>
      <c r="H79" s="80" t="s">
        <v>28</v>
      </c>
      <c r="I79" s="81">
        <f>VLOOKUP(H13,Данные!$A$42:$M$59,11,FALSE)</f>
        <v>0</v>
      </c>
      <c r="J79" s="76">
        <f>IF(C79=0,0,VLOOKUP($A$18,'Цены Жалюзи'!$B$37:$R$61,17,FALSE)*C79)</f>
        <v>0</v>
      </c>
      <c r="K79" s="76">
        <f>IF(E79=0,0,VLOOKUP($A$18,'Цены Жалюзи'!$B$37:$R$61,17,FALSE)*E79)</f>
        <v>0</v>
      </c>
      <c r="L79" s="76">
        <f>IF(G79=0,0,VLOOKUP($A$18,'Цены Жалюзи'!$B$37:$R$61,17,FALSE)*G79)</f>
        <v>0</v>
      </c>
      <c r="M79" s="76">
        <f>IF(I79=0,0,VLOOKUP($A$18,'Цены Жалюзи'!$B$37:$R$61,17,FALSE)*I79)</f>
        <v>0</v>
      </c>
      <c r="O79" s="13"/>
      <c r="V79" s="14"/>
      <c r="W79" s="6"/>
      <c r="X79" s="6"/>
      <c r="Y79" s="6"/>
      <c r="Z79" s="6"/>
      <c r="AA79" s="6"/>
      <c r="AB79" s="6"/>
      <c r="AC79" s="6"/>
      <c r="AD79" s="19"/>
      <c r="AE79" s="17"/>
      <c r="AF79" s="18"/>
      <c r="AG79" s="17"/>
      <c r="AH79" s="13"/>
      <c r="AI79" s="17"/>
      <c r="AJ79" s="17"/>
      <c r="AK79" s="17"/>
    </row>
    <row r="80" spans="1:37" ht="16.5" customHeight="1">
      <c r="A80" s="101" t="s">
        <v>274</v>
      </c>
      <c r="B80" s="106"/>
      <c r="C80" s="107"/>
      <c r="D80" s="110"/>
      <c r="E80" s="107"/>
      <c r="F80" s="110"/>
      <c r="G80" s="107"/>
      <c r="H80" s="110"/>
      <c r="I80" s="106"/>
      <c r="J80" s="77">
        <f>SUM(J26:J79)</f>
        <v>0</v>
      </c>
      <c r="K80" s="77">
        <f>SUM(K26:K79)</f>
        <v>0</v>
      </c>
      <c r="L80" s="77">
        <f>SUM(L26:L79)</f>
        <v>0</v>
      </c>
      <c r="M80" s="77">
        <f>SUM(M26:M79)</f>
        <v>0</v>
      </c>
      <c r="O80" s="13"/>
      <c r="V80" s="14"/>
      <c r="W80" s="6"/>
      <c r="X80" s="6"/>
      <c r="Y80" s="6"/>
      <c r="Z80" s="6"/>
      <c r="AA80" s="6"/>
      <c r="AB80" s="6"/>
      <c r="AC80" s="6"/>
      <c r="AD80" s="19"/>
      <c r="AE80" s="17"/>
      <c r="AF80" s="18"/>
      <c r="AG80" s="17"/>
      <c r="AH80" s="13"/>
      <c r="AI80" s="17"/>
      <c r="AJ80" s="17"/>
      <c r="AK80" s="17"/>
    </row>
    <row r="81" spans="1:37" s="154" customFormat="1" ht="16.5" customHeight="1">
      <c r="A81" s="117" t="s">
        <v>34</v>
      </c>
      <c r="B81" s="118" t="s">
        <v>308</v>
      </c>
      <c r="C81" s="119">
        <f>C34+C68+C76</f>
        <v>0</v>
      </c>
      <c r="D81" s="118" t="s">
        <v>308</v>
      </c>
      <c r="E81" s="119">
        <f>E34+E68+E76</f>
        <v>0</v>
      </c>
      <c r="F81" s="118" t="s">
        <v>308</v>
      </c>
      <c r="G81" s="119">
        <f>G34+G68+G76</f>
        <v>0</v>
      </c>
      <c r="H81" s="118" t="s">
        <v>308</v>
      </c>
      <c r="I81" s="143">
        <f>I34+I68+I76</f>
        <v>0</v>
      </c>
      <c r="J81" s="155"/>
      <c r="K81" s="155"/>
      <c r="L81" s="155"/>
      <c r="M81" s="155"/>
      <c r="O81" s="145"/>
      <c r="V81" s="156"/>
      <c r="W81" s="157"/>
      <c r="X81" s="157"/>
      <c r="Y81" s="157"/>
      <c r="Z81" s="157"/>
      <c r="AA81" s="157"/>
      <c r="AB81" s="157"/>
      <c r="AC81" s="157"/>
      <c r="AD81" s="158"/>
      <c r="AE81" s="159"/>
      <c r="AF81" s="160"/>
      <c r="AG81" s="159"/>
      <c r="AH81" s="145"/>
      <c r="AI81" s="159"/>
      <c r="AJ81" s="159"/>
      <c r="AK81" s="159"/>
    </row>
    <row r="82" spans="1:37" s="154" customFormat="1" ht="16.5" customHeight="1">
      <c r="A82" s="121" t="s">
        <v>36</v>
      </c>
      <c r="B82" s="118" t="s">
        <v>310</v>
      </c>
      <c r="C82" s="119">
        <f>C35</f>
        <v>0</v>
      </c>
      <c r="D82" s="118" t="s">
        <v>310</v>
      </c>
      <c r="E82" s="119">
        <f>E35</f>
        <v>0</v>
      </c>
      <c r="F82" s="118" t="s">
        <v>310</v>
      </c>
      <c r="G82" s="119">
        <f>G35</f>
        <v>0</v>
      </c>
      <c r="H82" s="118" t="s">
        <v>310</v>
      </c>
      <c r="I82" s="143">
        <f>I35</f>
        <v>0</v>
      </c>
      <c r="J82" s="155"/>
      <c r="K82" s="155"/>
      <c r="L82" s="155"/>
      <c r="M82" s="155"/>
      <c r="O82" s="145"/>
      <c r="V82" s="156"/>
      <c r="W82" s="157"/>
      <c r="X82" s="157"/>
      <c r="Y82" s="157"/>
      <c r="Z82" s="157"/>
      <c r="AA82" s="157"/>
      <c r="AB82" s="157"/>
      <c r="AC82" s="157"/>
      <c r="AD82" s="158"/>
      <c r="AE82" s="159"/>
      <c r="AF82" s="160"/>
      <c r="AG82" s="159"/>
      <c r="AH82" s="145"/>
      <c r="AI82" s="159"/>
      <c r="AJ82" s="159"/>
      <c r="AK82" s="159"/>
    </row>
    <row r="83" spans="1:37" s="154" customFormat="1" ht="16.5" customHeight="1">
      <c r="A83" s="121" t="s">
        <v>306</v>
      </c>
      <c r="B83" s="118" t="s">
        <v>309</v>
      </c>
      <c r="C83" s="119">
        <f>C36</f>
        <v>0</v>
      </c>
      <c r="D83" s="118" t="s">
        <v>309</v>
      </c>
      <c r="E83" s="119">
        <f>E36</f>
        <v>0</v>
      </c>
      <c r="F83" s="118" t="s">
        <v>309</v>
      </c>
      <c r="G83" s="119">
        <f>G36</f>
        <v>0</v>
      </c>
      <c r="H83" s="118" t="s">
        <v>309</v>
      </c>
      <c r="I83" s="143">
        <f>I36</f>
        <v>0</v>
      </c>
      <c r="J83" s="155"/>
      <c r="K83" s="155"/>
      <c r="L83" s="155"/>
      <c r="M83" s="155"/>
      <c r="O83" s="145"/>
      <c r="V83" s="156"/>
      <c r="W83" s="157"/>
      <c r="X83" s="157"/>
      <c r="Y83" s="157"/>
      <c r="Z83" s="157"/>
      <c r="AA83" s="157"/>
      <c r="AB83" s="157"/>
      <c r="AC83" s="157"/>
      <c r="AD83" s="158"/>
      <c r="AE83" s="159"/>
      <c r="AF83" s="160"/>
      <c r="AG83" s="159"/>
      <c r="AH83" s="145"/>
      <c r="AI83" s="159"/>
      <c r="AJ83" s="159"/>
      <c r="AK83" s="159"/>
    </row>
    <row r="84" spans="1:37" s="154" customFormat="1" ht="16.5" customHeight="1">
      <c r="A84" s="121" t="s">
        <v>112</v>
      </c>
      <c r="B84" s="118"/>
      <c r="C84" s="119">
        <f>C37</f>
        <v>0</v>
      </c>
      <c r="D84" s="118"/>
      <c r="E84" s="119">
        <f>E37</f>
        <v>0</v>
      </c>
      <c r="F84" s="118"/>
      <c r="G84" s="119">
        <f>G37</f>
        <v>0</v>
      </c>
      <c r="H84" s="118"/>
      <c r="I84" s="143">
        <f>I37</f>
        <v>0</v>
      </c>
      <c r="J84" s="155"/>
      <c r="K84" s="155"/>
      <c r="L84" s="155"/>
      <c r="M84" s="155"/>
      <c r="O84" s="145"/>
      <c r="V84" s="156"/>
      <c r="W84" s="157"/>
      <c r="X84" s="157"/>
      <c r="Y84" s="157"/>
      <c r="Z84" s="157"/>
      <c r="AA84" s="157"/>
      <c r="AB84" s="157"/>
      <c r="AC84" s="157"/>
      <c r="AD84" s="158"/>
      <c r="AE84" s="159"/>
      <c r="AF84" s="160"/>
      <c r="AG84" s="159"/>
      <c r="AH84" s="145"/>
      <c r="AI84" s="159"/>
      <c r="AJ84" s="159"/>
      <c r="AK84" s="159"/>
    </row>
    <row r="85" spans="1:37" ht="16.5" customHeight="1">
      <c r="A85" s="27"/>
      <c r="B85" s="123"/>
      <c r="C85" s="124"/>
      <c r="D85" s="123"/>
      <c r="E85" s="124"/>
      <c r="F85" s="123"/>
      <c r="G85" s="124"/>
      <c r="H85" s="123"/>
      <c r="I85" s="124"/>
      <c r="J85" s="76"/>
      <c r="K85" s="76"/>
      <c r="L85" s="76"/>
      <c r="M85" s="76"/>
      <c r="O85" s="13"/>
      <c r="V85" s="14"/>
      <c r="W85" s="6"/>
      <c r="X85" s="6"/>
      <c r="Y85" s="6"/>
      <c r="Z85" s="6"/>
      <c r="AA85" s="6"/>
      <c r="AB85" s="6"/>
      <c r="AC85" s="6"/>
      <c r="AD85" s="19"/>
      <c r="AE85" s="17"/>
      <c r="AF85" s="18"/>
      <c r="AG85" s="17"/>
      <c r="AH85" s="13"/>
      <c r="AI85" s="17"/>
      <c r="AJ85" s="17"/>
      <c r="AK85" s="17"/>
    </row>
    <row r="86" spans="1:15" ht="12.75" customHeight="1">
      <c r="A86" s="60"/>
      <c r="B86" s="59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60"/>
      <c r="O86" s="13"/>
    </row>
    <row r="87" spans="1:15" ht="19.5" customHeight="1">
      <c r="A87" s="224" t="s">
        <v>241</v>
      </c>
      <c r="B87" s="224"/>
      <c r="C87" s="224"/>
      <c r="D87" s="224"/>
      <c r="E87" s="224"/>
      <c r="F87" s="224"/>
      <c r="G87" s="224"/>
      <c r="H87" s="224"/>
      <c r="I87" s="224"/>
      <c r="J87" s="13"/>
      <c r="K87" s="13"/>
      <c r="L87" s="13"/>
      <c r="M87" s="13"/>
      <c r="N87" s="60"/>
      <c r="O87" s="13"/>
    </row>
    <row r="88" spans="1:15" ht="18" customHeight="1">
      <c r="A88" s="216" t="s">
        <v>158</v>
      </c>
      <c r="B88" s="216"/>
      <c r="C88" s="216"/>
      <c r="D88" s="216"/>
      <c r="E88" s="216"/>
      <c r="F88" s="216"/>
      <c r="G88" s="216"/>
      <c r="H88" s="216"/>
      <c r="I88" s="216"/>
      <c r="J88" s="13"/>
      <c r="K88" s="13"/>
      <c r="L88" s="13"/>
      <c r="M88" s="13"/>
      <c r="N88" s="60"/>
      <c r="O88" s="13"/>
    </row>
    <row r="89" spans="1:14" ht="16.5" customHeight="1">
      <c r="A89" s="216" t="s">
        <v>242</v>
      </c>
      <c r="B89" s="216"/>
      <c r="C89" s="216"/>
      <c r="D89" s="216"/>
      <c r="E89" s="216"/>
      <c r="F89" s="216"/>
      <c r="G89" s="216"/>
      <c r="H89" s="216"/>
      <c r="I89" s="216"/>
      <c r="J89" s="14"/>
      <c r="K89" s="14"/>
      <c r="L89" s="14"/>
      <c r="M89" s="14"/>
      <c r="N89" s="14"/>
    </row>
    <row r="90" spans="1:14" ht="12.75" customHeight="1">
      <c r="A90" s="216" t="s">
        <v>246</v>
      </c>
      <c r="B90" s="216"/>
      <c r="C90" s="216"/>
      <c r="D90" s="216"/>
      <c r="E90" s="216"/>
      <c r="F90" s="216"/>
      <c r="G90" s="216"/>
      <c r="H90" s="216"/>
      <c r="I90" s="216"/>
      <c r="J90" s="14"/>
      <c r="K90" s="14"/>
      <c r="L90" s="14"/>
      <c r="M90" s="14"/>
      <c r="N90" s="14"/>
    </row>
    <row r="91" spans="1:14" ht="12.75" customHeight="1">
      <c r="A91" s="216" t="s">
        <v>247</v>
      </c>
      <c r="B91" s="216"/>
      <c r="C91" s="216"/>
      <c r="D91" s="216"/>
      <c r="E91" s="216"/>
      <c r="F91" s="216"/>
      <c r="G91" s="216"/>
      <c r="H91" s="216"/>
      <c r="I91" s="216"/>
      <c r="J91" s="14"/>
      <c r="K91" s="14"/>
      <c r="L91" s="14"/>
      <c r="M91" s="14"/>
      <c r="N91" s="14"/>
    </row>
    <row r="92" spans="1:15" ht="15" customHeight="1">
      <c r="A92" s="202" t="s">
        <v>100</v>
      </c>
      <c r="B92" s="202"/>
      <c r="C92" s="202"/>
      <c r="D92" s="202"/>
      <c r="E92" s="202"/>
      <c r="F92" s="202"/>
      <c r="G92" s="202"/>
      <c r="H92" s="202"/>
      <c r="I92" s="202"/>
      <c r="K92" s="7"/>
      <c r="L92" s="7"/>
      <c r="M92" s="7"/>
      <c r="N92" s="22"/>
      <c r="O92" s="22"/>
    </row>
    <row r="93" spans="1:15" ht="15" customHeight="1">
      <c r="A93" s="202"/>
      <c r="B93" s="202"/>
      <c r="C93" s="202"/>
      <c r="D93" s="202"/>
      <c r="E93" s="202"/>
      <c r="F93" s="202"/>
      <c r="G93" s="202"/>
      <c r="H93" s="202"/>
      <c r="I93" s="202"/>
      <c r="J93" s="61"/>
      <c r="K93" s="23"/>
      <c r="L93" s="23"/>
      <c r="M93" s="23"/>
      <c r="N93" s="23"/>
      <c r="O93" s="23"/>
    </row>
    <row r="94" spans="1:17" ht="9.75" customHeight="1">
      <c r="A94" s="202" t="s">
        <v>243</v>
      </c>
      <c r="B94" s="202"/>
      <c r="C94" s="202"/>
      <c r="D94" s="202"/>
      <c r="E94" s="202"/>
      <c r="F94" s="202"/>
      <c r="G94" s="202"/>
      <c r="H94" s="202"/>
      <c r="I94" s="202"/>
      <c r="J94" s="61"/>
      <c r="K94" s="62"/>
      <c r="L94" s="62"/>
      <c r="M94" s="63"/>
      <c r="N94" s="64"/>
      <c r="O94" s="50"/>
      <c r="P94" s="25"/>
      <c r="Q94" s="25"/>
    </row>
    <row r="95" spans="1:17" ht="14.25" customHeight="1">
      <c r="A95" s="202"/>
      <c r="B95" s="202"/>
      <c r="C95" s="202"/>
      <c r="D95" s="202"/>
      <c r="E95" s="202"/>
      <c r="F95" s="202"/>
      <c r="G95" s="202"/>
      <c r="H95" s="202"/>
      <c r="I95" s="202"/>
      <c r="J95" s="61"/>
      <c r="K95" s="62"/>
      <c r="L95" s="62"/>
      <c r="M95" s="63"/>
      <c r="N95" s="64"/>
      <c r="O95" s="50"/>
      <c r="P95" s="25"/>
      <c r="Q95" s="25"/>
    </row>
    <row r="96" spans="1:15" ht="15" customHeight="1">
      <c r="A96" s="202"/>
      <c r="B96" s="202"/>
      <c r="C96" s="202"/>
      <c r="D96" s="202"/>
      <c r="E96" s="202"/>
      <c r="F96" s="202"/>
      <c r="G96" s="202"/>
      <c r="H96" s="202"/>
      <c r="I96" s="202"/>
      <c r="J96" s="61"/>
      <c r="K96" s="62"/>
      <c r="L96" s="62"/>
      <c r="M96" s="63"/>
      <c r="N96" s="64"/>
      <c r="O96" s="50"/>
    </row>
    <row r="97" spans="1:17" ht="12.75" customHeight="1">
      <c r="A97" s="202" t="s">
        <v>101</v>
      </c>
      <c r="B97" s="202"/>
      <c r="C97" s="202"/>
      <c r="D97" s="202"/>
      <c r="E97" s="202"/>
      <c r="F97" s="202"/>
      <c r="G97" s="202"/>
      <c r="H97" s="202"/>
      <c r="I97" s="202"/>
      <c r="J97" s="61"/>
      <c r="K97" s="62"/>
      <c r="L97" s="62"/>
      <c r="M97" s="63"/>
      <c r="N97" s="64"/>
      <c r="O97" s="50"/>
      <c r="P97" s="25"/>
      <c r="Q97" s="25"/>
    </row>
    <row r="98" spans="1:15" ht="15" customHeight="1">
      <c r="A98" s="202"/>
      <c r="B98" s="202"/>
      <c r="C98" s="202"/>
      <c r="D98" s="202"/>
      <c r="E98" s="202"/>
      <c r="F98" s="202"/>
      <c r="G98" s="202"/>
      <c r="H98" s="202"/>
      <c r="I98" s="202"/>
      <c r="J98" s="61"/>
      <c r="K98" s="62"/>
      <c r="L98" s="62"/>
      <c r="M98" s="63"/>
      <c r="N98" s="64"/>
      <c r="O98" s="50"/>
    </row>
    <row r="99" spans="1:17" ht="12.75" customHeight="1">
      <c r="A99" s="204" t="s">
        <v>102</v>
      </c>
      <c r="B99" s="205"/>
      <c r="C99" s="205"/>
      <c r="D99" s="205"/>
      <c r="E99" s="205"/>
      <c r="F99" s="205"/>
      <c r="G99" s="205"/>
      <c r="H99" s="205"/>
      <c r="I99" s="206"/>
      <c r="J99" s="61"/>
      <c r="K99" s="62"/>
      <c r="L99" s="62"/>
      <c r="M99" s="63"/>
      <c r="N99" s="64"/>
      <c r="O99" s="50"/>
      <c r="P99" s="25"/>
      <c r="Q99" s="25"/>
    </row>
    <row r="100" spans="1:15" ht="12.75" customHeight="1">
      <c r="A100" s="213"/>
      <c r="B100" s="214"/>
      <c r="C100" s="214"/>
      <c r="D100" s="214"/>
      <c r="E100" s="214"/>
      <c r="F100" s="214"/>
      <c r="G100" s="214"/>
      <c r="H100" s="214"/>
      <c r="I100" s="215"/>
      <c r="J100" s="61"/>
      <c r="K100" s="62"/>
      <c r="L100" s="62"/>
      <c r="M100" s="63"/>
      <c r="N100" s="64"/>
      <c r="O100" s="50"/>
    </row>
    <row r="101" spans="1:17" ht="15" customHeight="1">
      <c r="A101" s="213"/>
      <c r="B101" s="214"/>
      <c r="C101" s="214"/>
      <c r="D101" s="214"/>
      <c r="E101" s="214"/>
      <c r="F101" s="214"/>
      <c r="G101" s="214"/>
      <c r="H101" s="214"/>
      <c r="I101" s="215"/>
      <c r="J101" s="61"/>
      <c r="K101" s="62"/>
      <c r="L101" s="62"/>
      <c r="M101" s="63"/>
      <c r="N101" s="64"/>
      <c r="O101" s="50"/>
      <c r="P101" s="25"/>
      <c r="Q101" s="25"/>
    </row>
    <row r="102" spans="1:15" ht="12.75" customHeight="1">
      <c r="A102" s="207"/>
      <c r="B102" s="208"/>
      <c r="C102" s="208"/>
      <c r="D102" s="208"/>
      <c r="E102" s="208"/>
      <c r="F102" s="208"/>
      <c r="G102" s="208"/>
      <c r="H102" s="208"/>
      <c r="I102" s="209"/>
      <c r="J102" s="61"/>
      <c r="K102" s="62"/>
      <c r="L102" s="62"/>
      <c r="M102" s="63"/>
      <c r="N102" s="64"/>
      <c r="O102" s="50"/>
    </row>
    <row r="103" spans="1:15" ht="12.75" customHeight="1">
      <c r="A103" s="202" t="s">
        <v>245</v>
      </c>
      <c r="B103" s="202"/>
      <c r="C103" s="202"/>
      <c r="D103" s="202"/>
      <c r="E103" s="202"/>
      <c r="F103" s="202"/>
      <c r="G103" s="202"/>
      <c r="H103" s="202"/>
      <c r="I103" s="202"/>
      <c r="J103" s="61"/>
      <c r="K103" s="62"/>
      <c r="L103" s="62"/>
      <c r="M103" s="63"/>
      <c r="N103" s="64"/>
      <c r="O103" s="50"/>
    </row>
    <row r="104" spans="1:15" ht="12.75" customHeight="1">
      <c r="A104" s="202"/>
      <c r="B104" s="202"/>
      <c r="C104" s="202"/>
      <c r="D104" s="202"/>
      <c r="E104" s="202"/>
      <c r="F104" s="202"/>
      <c r="G104" s="202"/>
      <c r="H104" s="202"/>
      <c r="I104" s="202"/>
      <c r="J104" s="61"/>
      <c r="K104" s="62"/>
      <c r="L104" s="62"/>
      <c r="M104" s="63"/>
      <c r="N104" s="64"/>
      <c r="O104" s="50"/>
    </row>
    <row r="105" spans="1:17" ht="12.75" customHeight="1">
      <c r="A105" s="210" t="s">
        <v>248</v>
      </c>
      <c r="B105" s="211"/>
      <c r="C105" s="211"/>
      <c r="D105" s="211"/>
      <c r="E105" s="211"/>
      <c r="F105" s="211"/>
      <c r="G105" s="211"/>
      <c r="H105" s="211"/>
      <c r="I105" s="212"/>
      <c r="J105" s="61"/>
      <c r="K105" s="62"/>
      <c r="L105" s="62"/>
      <c r="M105" s="63"/>
      <c r="N105" s="64"/>
      <c r="O105" s="50"/>
      <c r="P105" s="25"/>
      <c r="Q105" s="25"/>
    </row>
    <row r="106" spans="1:15" ht="12.75" customHeight="1">
      <c r="A106" s="204" t="s">
        <v>244</v>
      </c>
      <c r="B106" s="205"/>
      <c r="C106" s="205"/>
      <c r="D106" s="205"/>
      <c r="E106" s="205"/>
      <c r="F106" s="205"/>
      <c r="G106" s="205"/>
      <c r="H106" s="205"/>
      <c r="I106" s="206"/>
      <c r="J106" s="61"/>
      <c r="K106" s="62"/>
      <c r="L106" s="62"/>
      <c r="M106" s="63"/>
      <c r="N106" s="64"/>
      <c r="O106" s="50"/>
    </row>
    <row r="107" spans="1:17" ht="12.75" customHeight="1">
      <c r="A107" s="207"/>
      <c r="B107" s="208"/>
      <c r="C107" s="208"/>
      <c r="D107" s="208"/>
      <c r="E107" s="208"/>
      <c r="F107" s="208"/>
      <c r="G107" s="208"/>
      <c r="H107" s="208"/>
      <c r="I107" s="209"/>
      <c r="J107" s="61"/>
      <c r="K107" s="14"/>
      <c r="L107" s="62"/>
      <c r="M107" s="63"/>
      <c r="N107" s="64"/>
      <c r="O107" s="50"/>
      <c r="P107" s="25"/>
      <c r="Q107" s="25"/>
    </row>
    <row r="108" spans="1:17" ht="12.75" customHeight="1">
      <c r="A108" s="200" t="s">
        <v>113</v>
      </c>
      <c r="B108" s="200"/>
      <c r="C108" s="200"/>
      <c r="D108" s="200"/>
      <c r="E108" s="200"/>
      <c r="F108" s="200"/>
      <c r="G108" s="200"/>
      <c r="H108" s="200"/>
      <c r="I108" s="200"/>
      <c r="J108" s="61"/>
      <c r="K108" s="14"/>
      <c r="L108" s="62"/>
      <c r="M108" s="63"/>
      <c r="N108" s="64"/>
      <c r="O108" s="50"/>
      <c r="P108" s="25"/>
      <c r="Q108" s="25"/>
    </row>
    <row r="109" spans="1:15" ht="12.75">
      <c r="A109" s="200"/>
      <c r="B109" s="200"/>
      <c r="C109" s="200"/>
      <c r="D109" s="200"/>
      <c r="E109" s="200"/>
      <c r="F109" s="200"/>
      <c r="G109" s="200"/>
      <c r="H109" s="200"/>
      <c r="I109" s="200"/>
      <c r="J109" s="61"/>
      <c r="K109" s="14"/>
      <c r="L109" s="62"/>
      <c r="M109" s="63"/>
      <c r="N109" s="64"/>
      <c r="O109" s="50"/>
    </row>
    <row r="110" spans="1:15" ht="12.75">
      <c r="A110" s="200"/>
      <c r="B110" s="200"/>
      <c r="C110" s="200"/>
      <c r="D110" s="200"/>
      <c r="E110" s="200"/>
      <c r="F110" s="200"/>
      <c r="G110" s="200"/>
      <c r="H110" s="200"/>
      <c r="I110" s="200"/>
      <c r="J110" s="61"/>
      <c r="K110" s="14"/>
      <c r="L110" s="62"/>
      <c r="M110" s="63"/>
      <c r="N110" s="64"/>
      <c r="O110" s="50"/>
    </row>
    <row r="111" spans="1:15" ht="12.75">
      <c r="A111" s="200"/>
      <c r="B111" s="200"/>
      <c r="C111" s="200"/>
      <c r="D111" s="200"/>
      <c r="E111" s="200"/>
      <c r="F111" s="200"/>
      <c r="G111" s="200"/>
      <c r="H111" s="200"/>
      <c r="I111" s="200"/>
      <c r="J111" s="61"/>
      <c r="K111" s="14"/>
      <c r="L111" s="62"/>
      <c r="M111" s="63"/>
      <c r="N111" s="64"/>
      <c r="O111" s="50"/>
    </row>
    <row r="112" spans="1:15" ht="12.75">
      <c r="A112" s="200"/>
      <c r="B112" s="200"/>
      <c r="C112" s="200"/>
      <c r="D112" s="200"/>
      <c r="E112" s="200"/>
      <c r="F112" s="200"/>
      <c r="G112" s="200"/>
      <c r="H112" s="200"/>
      <c r="I112" s="200"/>
      <c r="J112" s="61"/>
      <c r="K112" s="14"/>
      <c r="L112" s="62"/>
      <c r="M112" s="63"/>
      <c r="N112" s="64"/>
      <c r="O112" s="50"/>
    </row>
    <row r="113" spans="1:15" ht="12.75" customHeight="1">
      <c r="A113" s="200"/>
      <c r="B113" s="200"/>
      <c r="C113" s="200"/>
      <c r="D113" s="200"/>
      <c r="E113" s="200"/>
      <c r="F113" s="200"/>
      <c r="G113" s="200"/>
      <c r="H113" s="200"/>
      <c r="I113" s="200"/>
      <c r="J113" s="65"/>
      <c r="K113" s="65"/>
      <c r="L113" s="65"/>
      <c r="M113" s="65"/>
      <c r="N113" s="65"/>
      <c r="O113" s="13"/>
    </row>
    <row r="114" spans="1:15" ht="12.75">
      <c r="A114" s="200"/>
      <c r="B114" s="200"/>
      <c r="C114" s="200"/>
      <c r="D114" s="200"/>
      <c r="E114" s="200"/>
      <c r="F114" s="200"/>
      <c r="G114" s="200"/>
      <c r="H114" s="200"/>
      <c r="I114" s="200"/>
      <c r="J114" s="66"/>
      <c r="K114" s="66"/>
      <c r="L114" s="66"/>
      <c r="M114" s="66"/>
      <c r="N114" s="66"/>
      <c r="O114" s="13"/>
    </row>
    <row r="115" spans="1:15" ht="15" customHeight="1">
      <c r="A115" s="200"/>
      <c r="B115" s="200"/>
      <c r="C115" s="200"/>
      <c r="D115" s="200"/>
      <c r="E115" s="200"/>
      <c r="F115" s="200"/>
      <c r="G115" s="200"/>
      <c r="H115" s="200"/>
      <c r="I115" s="200"/>
      <c r="J115" s="66"/>
      <c r="K115" s="66"/>
      <c r="L115" s="66"/>
      <c r="M115" s="66"/>
      <c r="N115" s="66"/>
      <c r="O115" s="13"/>
    </row>
    <row r="116" spans="1:14" ht="12.75" customHeight="1">
      <c r="A116" s="200"/>
      <c r="B116" s="200"/>
      <c r="C116" s="200"/>
      <c r="D116" s="200"/>
      <c r="E116" s="200"/>
      <c r="F116" s="200"/>
      <c r="G116" s="200"/>
      <c r="H116" s="200"/>
      <c r="I116" s="200"/>
      <c r="J116" s="66"/>
      <c r="K116" s="66"/>
      <c r="L116" s="66"/>
      <c r="M116" s="66"/>
      <c r="N116" s="66"/>
    </row>
    <row r="117" spans="1:14" ht="12.75" customHeight="1">
      <c r="A117" s="200"/>
      <c r="B117" s="200"/>
      <c r="C117" s="200"/>
      <c r="D117" s="200"/>
      <c r="E117" s="200"/>
      <c r="F117" s="200"/>
      <c r="G117" s="200"/>
      <c r="H117" s="200"/>
      <c r="I117" s="200"/>
      <c r="J117" s="66"/>
      <c r="K117" s="66"/>
      <c r="L117" s="66"/>
      <c r="M117" s="66"/>
      <c r="N117" s="66"/>
    </row>
    <row r="118" spans="1:14" ht="12.75">
      <c r="A118" s="200"/>
      <c r="B118" s="200"/>
      <c r="C118" s="200"/>
      <c r="D118" s="200"/>
      <c r="E118" s="200"/>
      <c r="F118" s="200"/>
      <c r="G118" s="200"/>
      <c r="H118" s="200"/>
      <c r="I118" s="200"/>
      <c r="J118" s="66"/>
      <c r="K118" s="66"/>
      <c r="L118" s="66"/>
      <c r="M118" s="66"/>
      <c r="N118" s="66"/>
    </row>
    <row r="119" spans="1:15" ht="18" customHeight="1">
      <c r="A119" s="200"/>
      <c r="B119" s="200"/>
      <c r="C119" s="200"/>
      <c r="D119" s="200"/>
      <c r="E119" s="200"/>
      <c r="F119" s="200"/>
      <c r="G119" s="200"/>
      <c r="H119" s="200"/>
      <c r="I119" s="200"/>
      <c r="J119" s="14"/>
      <c r="K119" s="14"/>
      <c r="L119" s="14"/>
      <c r="M119" s="14"/>
      <c r="N119" s="14"/>
      <c r="O119" s="11"/>
    </row>
    <row r="120" spans="1:15" ht="12.75" customHeight="1">
      <c r="A120" s="200"/>
      <c r="B120" s="200"/>
      <c r="C120" s="200"/>
      <c r="D120" s="200"/>
      <c r="E120" s="200"/>
      <c r="F120" s="200"/>
      <c r="G120" s="200"/>
      <c r="H120" s="200"/>
      <c r="I120" s="200"/>
      <c r="J120" s="14"/>
      <c r="K120" s="14"/>
      <c r="L120" s="14"/>
      <c r="M120" s="14"/>
      <c r="N120" s="14"/>
      <c r="O120" s="28"/>
    </row>
    <row r="121" spans="1:15" ht="12.75" customHeight="1">
      <c r="A121" s="200"/>
      <c r="B121" s="200"/>
      <c r="C121" s="200"/>
      <c r="D121" s="200"/>
      <c r="E121" s="200"/>
      <c r="F121" s="200"/>
      <c r="G121" s="200"/>
      <c r="H121" s="200"/>
      <c r="I121" s="200"/>
      <c r="J121" s="14"/>
      <c r="K121" s="14"/>
      <c r="L121" s="14"/>
      <c r="M121" s="14"/>
      <c r="N121" s="14"/>
      <c r="O121" s="28"/>
    </row>
    <row r="122" spans="1:15" ht="12.75" customHeight="1">
      <c r="A122" s="200"/>
      <c r="B122" s="200"/>
      <c r="C122" s="200"/>
      <c r="D122" s="200"/>
      <c r="E122" s="200"/>
      <c r="F122" s="200"/>
      <c r="G122" s="200"/>
      <c r="H122" s="200"/>
      <c r="I122" s="200"/>
      <c r="J122" s="14"/>
      <c r="K122" s="14"/>
      <c r="L122" s="14"/>
      <c r="M122" s="14"/>
      <c r="N122" s="14"/>
      <c r="O122" s="28"/>
    </row>
    <row r="123" spans="1:15" ht="12.75" customHeight="1">
      <c r="A123" s="200"/>
      <c r="B123" s="200"/>
      <c r="C123" s="200"/>
      <c r="D123" s="200"/>
      <c r="E123" s="200"/>
      <c r="F123" s="200"/>
      <c r="G123" s="200"/>
      <c r="H123" s="200"/>
      <c r="I123" s="200"/>
      <c r="J123" s="14"/>
      <c r="K123" s="14"/>
      <c r="L123" s="14"/>
      <c r="M123" s="14"/>
      <c r="N123" s="14"/>
      <c r="O123" s="28"/>
    </row>
    <row r="124" spans="1:15" ht="12.75" customHeight="1">
      <c r="A124" s="200"/>
      <c r="B124" s="200"/>
      <c r="C124" s="200"/>
      <c r="D124" s="200"/>
      <c r="E124" s="200"/>
      <c r="F124" s="200"/>
      <c r="G124" s="200"/>
      <c r="H124" s="200"/>
      <c r="I124" s="200"/>
      <c r="J124" s="14"/>
      <c r="K124" s="14"/>
      <c r="L124" s="14"/>
      <c r="M124" s="14"/>
      <c r="N124" s="14"/>
      <c r="O124" s="8"/>
    </row>
    <row r="125" spans="1:14" ht="11.25" customHeight="1">
      <c r="A125" s="200"/>
      <c r="B125" s="200"/>
      <c r="C125" s="200"/>
      <c r="D125" s="200"/>
      <c r="E125" s="200"/>
      <c r="F125" s="200"/>
      <c r="G125" s="200"/>
      <c r="H125" s="200"/>
      <c r="I125" s="200"/>
      <c r="J125" s="14"/>
      <c r="K125" s="14"/>
      <c r="L125" s="14"/>
      <c r="M125" s="14"/>
      <c r="N125" s="14"/>
    </row>
    <row r="126" spans="1:9" ht="12.75" customHeight="1">
      <c r="A126" s="200"/>
      <c r="B126" s="200"/>
      <c r="C126" s="200"/>
      <c r="D126" s="200"/>
      <c r="E126" s="200"/>
      <c r="F126" s="200"/>
      <c r="G126" s="200"/>
      <c r="H126" s="200"/>
      <c r="I126" s="200"/>
    </row>
    <row r="127" spans="1:15" ht="12.75" customHeight="1">
      <c r="A127" s="200"/>
      <c r="B127" s="200"/>
      <c r="C127" s="200"/>
      <c r="D127" s="200"/>
      <c r="E127" s="200"/>
      <c r="F127" s="200"/>
      <c r="G127" s="200"/>
      <c r="H127" s="200"/>
      <c r="I127" s="200"/>
      <c r="O127" s="32"/>
    </row>
    <row r="128" ht="12.75" customHeight="1">
      <c r="O128" s="33"/>
    </row>
    <row r="129" spans="1:8" ht="12.75" customHeight="1">
      <c r="A129" s="26"/>
      <c r="B129" s="26"/>
      <c r="C129" s="26"/>
      <c r="D129" s="26"/>
      <c r="E129" s="26"/>
      <c r="F129" s="26"/>
      <c r="G129" s="26"/>
      <c r="H129" s="26"/>
    </row>
    <row r="130" spans="1:8" ht="12.75">
      <c r="A130" s="26"/>
      <c r="B130" s="26"/>
      <c r="C130" s="26"/>
      <c r="D130" s="26"/>
      <c r="E130" s="26"/>
      <c r="F130" s="26"/>
      <c r="G130" s="26"/>
      <c r="H130" s="26"/>
    </row>
    <row r="131" spans="1:8" ht="12.75">
      <c r="A131" s="26"/>
      <c r="B131" s="26"/>
      <c r="C131" s="26"/>
      <c r="D131" s="26"/>
      <c r="E131" s="26"/>
      <c r="F131" s="26"/>
      <c r="G131" s="26"/>
      <c r="H131" s="26"/>
    </row>
    <row r="132" spans="1:8" ht="12.75">
      <c r="A132" s="26"/>
      <c r="B132" s="26"/>
      <c r="C132" s="26"/>
      <c r="D132" s="26"/>
      <c r="E132" s="26"/>
      <c r="F132" s="26"/>
      <c r="G132" s="26"/>
      <c r="H132" s="26"/>
    </row>
    <row r="133" spans="1:8" ht="12.75" customHeight="1">
      <c r="A133" s="26"/>
      <c r="B133" s="26"/>
      <c r="C133" s="26"/>
      <c r="D133" s="26"/>
      <c r="E133" s="26"/>
      <c r="F133" s="26"/>
      <c r="G133" s="26"/>
      <c r="H133" s="26"/>
    </row>
    <row r="134" spans="1:8" ht="12.75" customHeight="1">
      <c r="A134" s="26"/>
      <c r="B134" s="26"/>
      <c r="C134" s="26"/>
      <c r="D134" s="26"/>
      <c r="E134" s="26"/>
      <c r="F134" s="26"/>
      <c r="G134" s="26"/>
      <c r="H134" s="26"/>
    </row>
    <row r="135" spans="1:8" ht="12.75" customHeight="1">
      <c r="A135" s="26"/>
      <c r="B135" s="26"/>
      <c r="C135" s="26"/>
      <c r="D135" s="26"/>
      <c r="E135" s="26"/>
      <c r="F135" s="26"/>
      <c r="G135" s="26"/>
      <c r="H135" s="26"/>
    </row>
    <row r="136" spans="1:8" ht="12.75" customHeight="1">
      <c r="A136" s="26"/>
      <c r="B136" s="26"/>
      <c r="C136" s="26"/>
      <c r="D136" s="26"/>
      <c r="E136" s="26"/>
      <c r="F136" s="26"/>
      <c r="G136" s="26"/>
      <c r="H136" s="26"/>
    </row>
    <row r="137" spans="1:8" ht="12.75" customHeight="1">
      <c r="A137" s="26"/>
      <c r="B137" s="26"/>
      <c r="C137" s="26"/>
      <c r="D137" s="26"/>
      <c r="E137" s="26"/>
      <c r="F137" s="26"/>
      <c r="G137" s="26"/>
      <c r="H137" s="26"/>
    </row>
    <row r="138" spans="1:8" ht="12.75" customHeight="1">
      <c r="A138" s="27"/>
      <c r="B138" s="27"/>
      <c r="C138" s="27"/>
      <c r="D138" s="27"/>
      <c r="E138" s="27"/>
      <c r="F138" s="27"/>
      <c r="G138" s="27"/>
      <c r="H138" s="27"/>
    </row>
    <row r="139" spans="1:8" ht="12.75" customHeight="1">
      <c r="A139" s="27"/>
      <c r="B139" s="27"/>
      <c r="C139" s="27"/>
      <c r="D139" s="27"/>
      <c r="E139" s="27"/>
      <c r="F139" s="27"/>
      <c r="G139" s="27"/>
      <c r="H139" s="27"/>
    </row>
    <row r="140" spans="1:8" ht="12.75" customHeight="1">
      <c r="A140" s="27"/>
      <c r="B140" s="27"/>
      <c r="C140" s="27"/>
      <c r="D140" s="27"/>
      <c r="E140" s="27"/>
      <c r="F140" s="27"/>
      <c r="G140" s="27"/>
      <c r="H140" s="27"/>
    </row>
    <row r="141" spans="1:8" ht="12.75" customHeight="1">
      <c r="A141" s="27"/>
      <c r="B141" s="27"/>
      <c r="C141" s="27"/>
      <c r="D141" s="27"/>
      <c r="E141" s="27"/>
      <c r="F141" s="27"/>
      <c r="G141" s="27"/>
      <c r="H141" s="27"/>
    </row>
    <row r="142" ht="12.75" customHeight="1">
      <c r="H142" s="14"/>
    </row>
    <row r="143" ht="12.75" customHeight="1">
      <c r="H143" s="14"/>
    </row>
    <row r="144" ht="12.75">
      <c r="H144" s="14"/>
    </row>
    <row r="145" spans="1:8" ht="12.75">
      <c r="A145" s="5"/>
      <c r="B145" s="5"/>
      <c r="H145" s="14"/>
    </row>
    <row r="146" spans="1:8" ht="12.75">
      <c r="A146" s="5"/>
      <c r="B146" s="68"/>
      <c r="H146" s="14"/>
    </row>
    <row r="147" spans="1:8" ht="12.75">
      <c r="A147" s="5"/>
      <c r="B147" s="68"/>
      <c r="H147" s="14"/>
    </row>
    <row r="148" spans="1:8" ht="12.75">
      <c r="A148" s="65"/>
      <c r="B148" s="68"/>
      <c r="H148" s="14"/>
    </row>
    <row r="149" spans="1:8" ht="12.75">
      <c r="A149" s="65"/>
      <c r="B149" s="68"/>
      <c r="H149" s="14"/>
    </row>
    <row r="150" ht="12.75">
      <c r="H150" s="14"/>
    </row>
    <row r="151" spans="1:8" ht="12.75">
      <c r="A151" s="37"/>
      <c r="H151" s="14"/>
    </row>
    <row r="152" spans="1:8" ht="12.75">
      <c r="A152" s="37"/>
      <c r="H152" s="14"/>
    </row>
    <row r="153" spans="1:8" ht="12.75">
      <c r="A153" s="37"/>
      <c r="H153" s="14"/>
    </row>
    <row r="154" spans="1:8" ht="12.75">
      <c r="A154" s="37"/>
      <c r="H154" s="14"/>
    </row>
    <row r="155" spans="1:8" ht="12.75">
      <c r="A155" s="37"/>
      <c r="H155" s="14"/>
    </row>
    <row r="156" spans="1:8" ht="12.75">
      <c r="A156" s="37"/>
      <c r="H156" s="14"/>
    </row>
    <row r="157" spans="1:8" ht="12.75">
      <c r="A157" s="37"/>
      <c r="H157" s="14"/>
    </row>
    <row r="158" spans="3:15" s="3" customFormat="1" ht="12.75">
      <c r="C158" s="39"/>
      <c r="D158" s="39"/>
      <c r="E158" s="39"/>
      <c r="F158" s="39"/>
      <c r="G158" s="39"/>
      <c r="H158" s="42"/>
      <c r="I158" s="39"/>
      <c r="J158" s="39"/>
      <c r="K158" s="39"/>
      <c r="L158" s="39"/>
      <c r="M158" s="39"/>
      <c r="N158" s="39"/>
      <c r="O158" s="39"/>
    </row>
    <row r="159" spans="1:15" s="3" customFormat="1" ht="12.75">
      <c r="A159" s="41"/>
      <c r="B159" s="199"/>
      <c r="C159" s="199"/>
      <c r="D159" s="39"/>
      <c r="E159" s="39"/>
      <c r="F159" s="39"/>
      <c r="G159" s="39"/>
      <c r="H159" s="42"/>
      <c r="I159" s="39"/>
      <c r="J159" s="39"/>
      <c r="K159" s="39"/>
      <c r="L159" s="39"/>
      <c r="M159" s="39"/>
      <c r="N159" s="39"/>
      <c r="O159" s="39"/>
    </row>
    <row r="160" spans="1:3" ht="12.75">
      <c r="A160" s="39"/>
      <c r="B160" s="39"/>
      <c r="C160" s="39"/>
    </row>
    <row r="161" spans="1:15" s="3" customFormat="1" ht="12.75">
      <c r="A161" s="40"/>
      <c r="B161" s="40"/>
      <c r="C161" s="40"/>
      <c r="D161" s="39"/>
      <c r="E161" s="39"/>
      <c r="F161" s="39"/>
      <c r="G161" s="39"/>
      <c r="H161" s="42"/>
      <c r="I161" s="39"/>
      <c r="J161" s="39"/>
      <c r="K161" s="39"/>
      <c r="L161" s="39"/>
      <c r="M161" s="39"/>
      <c r="N161" s="39"/>
      <c r="O161" s="39"/>
    </row>
    <row r="162" spans="1:15" s="3" customFormat="1" ht="12.75">
      <c r="A162" s="41"/>
      <c r="B162" s="40"/>
      <c r="C162" s="40"/>
      <c r="D162" s="39"/>
      <c r="E162" s="39"/>
      <c r="F162" s="39"/>
      <c r="G162" s="39"/>
      <c r="H162" s="42"/>
      <c r="I162" s="39"/>
      <c r="J162" s="39"/>
      <c r="K162" s="39"/>
      <c r="L162" s="39"/>
      <c r="M162" s="39"/>
      <c r="N162" s="39"/>
      <c r="O162" s="39"/>
    </row>
    <row r="163" spans="1:15" s="3" customFormat="1" ht="12.75">
      <c r="A163" s="41"/>
      <c r="B163" s="40"/>
      <c r="C163" s="40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</row>
    <row r="164" spans="1:15" s="3" customFormat="1" ht="12.75">
      <c r="A164" s="41"/>
      <c r="B164" s="40"/>
      <c r="C164" s="40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</row>
    <row r="165" spans="1:15" s="3" customFormat="1" ht="12.75">
      <c r="A165" s="41"/>
      <c r="B165" s="40"/>
      <c r="C165" s="40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</row>
    <row r="166" spans="1:15" s="3" customFormat="1" ht="12.75">
      <c r="A166" s="41"/>
      <c r="B166" s="40"/>
      <c r="C166" s="40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</row>
    <row r="167" spans="1:15" s="3" customFormat="1" ht="12.75">
      <c r="A167" s="41"/>
      <c r="B167" s="40"/>
      <c r="C167" s="40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</row>
    <row r="168" spans="1:15" s="3" customFormat="1" ht="12.75">
      <c r="A168" s="41"/>
      <c r="B168" s="40"/>
      <c r="C168" s="40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</row>
    <row r="169" spans="1:15" s="3" customFormat="1" ht="12.75">
      <c r="A169" s="41"/>
      <c r="B169" s="40"/>
      <c r="C169" s="40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</row>
    <row r="170" spans="1:15" s="3" customFormat="1" ht="12.75">
      <c r="A170" s="41"/>
      <c r="B170" s="40"/>
      <c r="C170" s="40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</row>
    <row r="171" spans="1:15" s="3" customFormat="1" ht="12.75">
      <c r="A171" s="41"/>
      <c r="B171" s="40"/>
      <c r="C171" s="40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</row>
    <row r="172" spans="1:15" s="3" customFormat="1" ht="12.75">
      <c r="A172" s="41"/>
      <c r="B172" s="40"/>
      <c r="C172" s="40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</row>
    <row r="173" spans="1:15" s="3" customFormat="1" ht="12.75">
      <c r="A173" s="41"/>
      <c r="B173" s="40"/>
      <c r="C173" s="40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</row>
    <row r="174" spans="1:15" s="3" customFormat="1" ht="12.75">
      <c r="A174" s="41"/>
      <c r="B174" s="40"/>
      <c r="C174" s="40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</row>
    <row r="175" spans="1:15" s="3" customFormat="1" ht="12.75">
      <c r="A175" s="41"/>
      <c r="B175" s="40"/>
      <c r="C175" s="40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</row>
    <row r="176" spans="1:15" s="3" customFormat="1" ht="12.75">
      <c r="A176" s="41"/>
      <c r="B176" s="40"/>
      <c r="C176" s="40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</row>
    <row r="177" spans="1:15" s="3" customFormat="1" ht="12.75">
      <c r="A177" s="41"/>
      <c r="B177" s="40"/>
      <c r="C177" s="40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</row>
    <row r="178" spans="1:15" s="3" customFormat="1" ht="12.75">
      <c r="A178" s="41"/>
      <c r="B178" s="40"/>
      <c r="C178" s="40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</row>
    <row r="179" spans="1:15" s="3" customFormat="1" ht="12.75">
      <c r="A179" s="41"/>
      <c r="B179" s="40"/>
      <c r="C179" s="40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</row>
    <row r="180" spans="1:15" s="3" customFormat="1" ht="12.75">
      <c r="A180" s="41"/>
      <c r="B180" s="40"/>
      <c r="C180" s="40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</row>
    <row r="181" spans="1:15" s="3" customFormat="1" ht="12.75">
      <c r="A181" s="41"/>
      <c r="B181" s="40"/>
      <c r="C181" s="40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</row>
    <row r="182" spans="1:15" s="3" customFormat="1" ht="12.75">
      <c r="A182" s="41"/>
      <c r="B182" s="40"/>
      <c r="C182" s="40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</row>
    <row r="183" spans="1:15" s="3" customFormat="1" ht="12.75">
      <c r="A183" s="41"/>
      <c r="B183" s="40"/>
      <c r="C183" s="40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</row>
    <row r="184" spans="1:15" s="3" customFormat="1" ht="12.75">
      <c r="A184" s="41"/>
      <c r="B184" s="40"/>
      <c r="C184" s="40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</row>
    <row r="185" spans="1:15" s="3" customFormat="1" ht="12.75">
      <c r="A185" s="41"/>
      <c r="B185" s="40"/>
      <c r="C185" s="40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</row>
    <row r="186" spans="1:15" s="3" customFormat="1" ht="12.75">
      <c r="A186" s="41"/>
      <c r="B186" s="40"/>
      <c r="C186" s="40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</row>
    <row r="187" spans="1:15" s="3" customFormat="1" ht="12.75">
      <c r="A187" s="41"/>
      <c r="B187" s="40"/>
      <c r="C187" s="40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</row>
    <row r="188" spans="1:15" s="3" customFormat="1" ht="12.75">
      <c r="A188" s="41"/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</row>
    <row r="189" spans="1:15" s="3" customFormat="1" ht="12.75">
      <c r="A189" s="41"/>
      <c r="B189" s="39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</row>
    <row r="190" spans="1:15" s="45" customFormat="1" ht="12.75">
      <c r="A190" s="43"/>
      <c r="B190" s="44"/>
      <c r="C190" s="44"/>
      <c r="D190" s="44"/>
      <c r="E190" s="44"/>
      <c r="F190" s="44"/>
      <c r="G190" s="44"/>
      <c r="H190" s="44"/>
      <c r="I190" s="44"/>
      <c r="J190" s="44"/>
      <c r="K190" s="44"/>
      <c r="L190" s="44"/>
      <c r="M190" s="42"/>
      <c r="N190" s="42"/>
      <c r="O190" s="42"/>
    </row>
    <row r="191" spans="1:15" s="3" customFormat="1" ht="12.75">
      <c r="A191" s="39"/>
      <c r="B191" s="41"/>
      <c r="C191" s="41"/>
      <c r="D191" s="41"/>
      <c r="E191" s="41"/>
      <c r="F191" s="41"/>
      <c r="G191" s="41"/>
      <c r="H191" s="40"/>
      <c r="I191" s="40"/>
      <c r="J191" s="40"/>
      <c r="K191" s="40"/>
      <c r="L191" s="41"/>
      <c r="M191" s="39"/>
      <c r="N191" s="39"/>
      <c r="O191" s="39"/>
    </row>
    <row r="192" spans="1:15" s="3" customFormat="1" ht="12.75">
      <c r="A192" s="39"/>
      <c r="B192" s="41"/>
      <c r="C192" s="41"/>
      <c r="D192" s="41"/>
      <c r="E192" s="41"/>
      <c r="F192" s="41"/>
      <c r="G192" s="41"/>
      <c r="H192" s="40"/>
      <c r="I192" s="40"/>
      <c r="J192" s="40"/>
      <c r="K192" s="40"/>
      <c r="L192" s="41"/>
      <c r="M192" s="39"/>
      <c r="N192" s="39"/>
      <c r="O192" s="39"/>
    </row>
    <row r="193" spans="1:15" s="3" customFormat="1" ht="12.75">
      <c r="A193" s="39"/>
      <c r="B193" s="41"/>
      <c r="C193" s="41"/>
      <c r="D193" s="41"/>
      <c r="E193" s="41"/>
      <c r="F193" s="41"/>
      <c r="G193" s="41"/>
      <c r="H193" s="40"/>
      <c r="I193" s="40"/>
      <c r="J193" s="40"/>
      <c r="K193" s="40"/>
      <c r="L193" s="41"/>
      <c r="M193" s="39"/>
      <c r="N193" s="39"/>
      <c r="O193" s="39"/>
    </row>
    <row r="194" spans="1:15" s="3" customFormat="1" ht="12.75">
      <c r="A194" s="44"/>
      <c r="B194" s="44"/>
      <c r="C194" s="44"/>
      <c r="D194" s="44"/>
      <c r="E194" s="44"/>
      <c r="F194" s="44"/>
      <c r="G194" s="44"/>
      <c r="H194" s="44"/>
      <c r="I194" s="44"/>
      <c r="J194" s="44"/>
      <c r="K194" s="44"/>
      <c r="L194" s="44"/>
      <c r="M194" s="39"/>
      <c r="N194" s="39"/>
      <c r="O194" s="39"/>
    </row>
    <row r="195" spans="1:15" s="3" customFormat="1" ht="12.75">
      <c r="A195" s="39"/>
      <c r="B195" s="41"/>
      <c r="C195" s="41"/>
      <c r="D195" s="41"/>
      <c r="E195" s="41"/>
      <c r="F195" s="41"/>
      <c r="G195" s="41"/>
      <c r="H195" s="40"/>
      <c r="I195" s="40"/>
      <c r="J195" s="40"/>
      <c r="K195" s="40"/>
      <c r="L195" s="41"/>
      <c r="M195" s="39"/>
      <c r="N195" s="39"/>
      <c r="O195" s="39"/>
    </row>
    <row r="196" spans="1:15" s="3" customFormat="1" ht="12.75">
      <c r="A196" s="39"/>
      <c r="B196" s="41"/>
      <c r="C196" s="41"/>
      <c r="D196" s="41"/>
      <c r="E196" s="41"/>
      <c r="F196" s="41"/>
      <c r="G196" s="41"/>
      <c r="H196" s="40"/>
      <c r="I196" s="40"/>
      <c r="J196" s="40"/>
      <c r="K196" s="40"/>
      <c r="L196" s="41"/>
      <c r="M196" s="39"/>
      <c r="N196" s="39"/>
      <c r="O196" s="39"/>
    </row>
    <row r="197" spans="1:15" s="3" customFormat="1" ht="12.75">
      <c r="A197" s="39"/>
      <c r="B197" s="41"/>
      <c r="C197" s="41"/>
      <c r="D197" s="41"/>
      <c r="E197" s="41"/>
      <c r="F197" s="41"/>
      <c r="G197" s="41"/>
      <c r="H197" s="40"/>
      <c r="I197" s="40"/>
      <c r="J197" s="40"/>
      <c r="K197" s="40"/>
      <c r="L197" s="41"/>
      <c r="M197" s="39"/>
      <c r="N197" s="39"/>
      <c r="O197" s="39"/>
    </row>
    <row r="198" spans="1:15" s="3" customFormat="1" ht="12.75">
      <c r="A198" s="39"/>
      <c r="B198" s="41"/>
      <c r="C198" s="41"/>
      <c r="D198" s="41"/>
      <c r="E198" s="41"/>
      <c r="F198" s="41"/>
      <c r="G198" s="41"/>
      <c r="H198" s="40"/>
      <c r="I198" s="40"/>
      <c r="J198" s="40"/>
      <c r="K198" s="40"/>
      <c r="L198" s="41"/>
      <c r="M198" s="39"/>
      <c r="N198" s="39"/>
      <c r="O198" s="39"/>
    </row>
    <row r="199" spans="1:15" s="3" customFormat="1" ht="12.75">
      <c r="A199" s="39"/>
      <c r="B199" s="41"/>
      <c r="C199" s="41"/>
      <c r="D199" s="41"/>
      <c r="E199" s="41"/>
      <c r="F199" s="41"/>
      <c r="G199" s="41"/>
      <c r="H199" s="40"/>
      <c r="I199" s="40"/>
      <c r="J199" s="40"/>
      <c r="K199" s="40"/>
      <c r="L199" s="41"/>
      <c r="M199" s="39"/>
      <c r="N199" s="39"/>
      <c r="O199" s="39"/>
    </row>
    <row r="200" spans="1:15" s="3" customFormat="1" ht="12.75">
      <c r="A200" s="39"/>
      <c r="B200" s="41"/>
      <c r="C200" s="41"/>
      <c r="D200" s="41"/>
      <c r="E200" s="41"/>
      <c r="F200" s="41"/>
      <c r="G200" s="41"/>
      <c r="H200" s="40"/>
      <c r="I200" s="40"/>
      <c r="J200" s="40"/>
      <c r="K200" s="40"/>
      <c r="L200" s="41"/>
      <c r="M200" s="39"/>
      <c r="N200" s="39"/>
      <c r="O200" s="39"/>
    </row>
    <row r="201" spans="1:15" s="3" customFormat="1" ht="12.75">
      <c r="A201" s="39"/>
      <c r="B201" s="41"/>
      <c r="C201" s="41"/>
      <c r="D201" s="41"/>
      <c r="E201" s="41"/>
      <c r="F201" s="41"/>
      <c r="G201" s="41"/>
      <c r="H201" s="40"/>
      <c r="I201" s="40"/>
      <c r="J201" s="40"/>
      <c r="K201" s="40"/>
      <c r="L201" s="41"/>
      <c r="M201" s="39"/>
      <c r="N201" s="39"/>
      <c r="O201" s="39"/>
    </row>
    <row r="202" spans="1:15" s="3" customFormat="1" ht="12.75">
      <c r="A202" s="39"/>
      <c r="B202" s="41"/>
      <c r="C202" s="41"/>
      <c r="D202" s="41"/>
      <c r="E202" s="41"/>
      <c r="F202" s="41"/>
      <c r="G202" s="41"/>
      <c r="H202" s="40"/>
      <c r="I202" s="40"/>
      <c r="J202" s="40"/>
      <c r="K202" s="40"/>
      <c r="L202" s="41"/>
      <c r="M202" s="39"/>
      <c r="N202" s="39"/>
      <c r="O202" s="39"/>
    </row>
    <row r="203" spans="1:15" s="3" customFormat="1" ht="12.75">
      <c r="A203" s="39"/>
      <c r="B203" s="41"/>
      <c r="C203" s="41"/>
      <c r="D203" s="41"/>
      <c r="E203" s="41"/>
      <c r="F203" s="41"/>
      <c r="G203" s="41"/>
      <c r="H203" s="40"/>
      <c r="I203" s="40"/>
      <c r="J203" s="40"/>
      <c r="K203" s="40"/>
      <c r="L203" s="41"/>
      <c r="M203" s="39"/>
      <c r="N203" s="39"/>
      <c r="O203" s="39"/>
    </row>
    <row r="204" spans="1:15" s="3" customFormat="1" ht="12.75">
      <c r="A204" s="39"/>
      <c r="B204" s="41"/>
      <c r="C204" s="41"/>
      <c r="D204" s="41"/>
      <c r="E204" s="41"/>
      <c r="F204" s="41"/>
      <c r="G204" s="41"/>
      <c r="H204" s="40"/>
      <c r="I204" s="40"/>
      <c r="J204" s="40"/>
      <c r="K204" s="40"/>
      <c r="L204" s="41"/>
      <c r="M204" s="39"/>
      <c r="N204" s="39"/>
      <c r="O204" s="39"/>
    </row>
    <row r="205" spans="1:15" s="3" customFormat="1" ht="12.75">
      <c r="A205" s="39"/>
      <c r="B205" s="41"/>
      <c r="C205" s="41"/>
      <c r="D205" s="41"/>
      <c r="E205" s="41"/>
      <c r="F205" s="41"/>
      <c r="G205" s="41"/>
      <c r="H205" s="40"/>
      <c r="I205" s="40"/>
      <c r="J205" s="40"/>
      <c r="K205" s="40"/>
      <c r="L205" s="41"/>
      <c r="M205" s="39"/>
      <c r="N205" s="39"/>
      <c r="O205" s="39"/>
    </row>
    <row r="206" spans="1:15" s="3" customFormat="1" ht="12.75">
      <c r="A206" s="39"/>
      <c r="B206" s="41"/>
      <c r="C206" s="41"/>
      <c r="D206" s="41"/>
      <c r="E206" s="41"/>
      <c r="F206" s="41"/>
      <c r="G206" s="41"/>
      <c r="H206" s="40"/>
      <c r="I206" s="40"/>
      <c r="J206" s="40"/>
      <c r="K206" s="40"/>
      <c r="L206" s="41"/>
      <c r="M206" s="39"/>
      <c r="N206" s="39"/>
      <c r="O206" s="39"/>
    </row>
    <row r="207" spans="1:15" s="3" customFormat="1" ht="12.75">
      <c r="A207" s="39"/>
      <c r="B207" s="41"/>
      <c r="C207" s="41"/>
      <c r="D207" s="41"/>
      <c r="E207" s="41"/>
      <c r="F207" s="41"/>
      <c r="G207" s="41"/>
      <c r="H207" s="40"/>
      <c r="I207" s="40"/>
      <c r="J207" s="40"/>
      <c r="K207" s="40"/>
      <c r="L207" s="41"/>
      <c r="M207" s="39"/>
      <c r="N207" s="39"/>
      <c r="O207" s="39"/>
    </row>
    <row r="208" spans="1:15" s="3" customFormat="1" ht="12.75">
      <c r="A208" s="39"/>
      <c r="B208" s="41"/>
      <c r="C208" s="41"/>
      <c r="D208" s="41"/>
      <c r="E208" s="41"/>
      <c r="F208" s="41"/>
      <c r="G208" s="41"/>
      <c r="H208" s="40"/>
      <c r="I208" s="40"/>
      <c r="J208" s="40"/>
      <c r="K208" s="40"/>
      <c r="L208" s="41"/>
      <c r="M208" s="39"/>
      <c r="N208" s="39"/>
      <c r="O208" s="39"/>
    </row>
    <row r="209" spans="1:15" s="3" customFormat="1" ht="12.75">
      <c r="A209" s="39"/>
      <c r="B209" s="41"/>
      <c r="C209" s="41"/>
      <c r="D209" s="41"/>
      <c r="E209" s="41"/>
      <c r="F209" s="41"/>
      <c r="G209" s="41"/>
      <c r="H209" s="40"/>
      <c r="I209" s="40"/>
      <c r="J209" s="40"/>
      <c r="K209" s="40"/>
      <c r="L209" s="41"/>
      <c r="M209" s="39"/>
      <c r="N209" s="39"/>
      <c r="O209" s="39"/>
    </row>
    <row r="210" spans="1:15" s="3" customFormat="1" ht="12.75">
      <c r="A210" s="39"/>
      <c r="B210" s="39"/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</row>
    <row r="211" spans="1:15" s="3" customFormat="1" ht="12.75">
      <c r="A211" s="39"/>
      <c r="B211" s="39"/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</row>
    <row r="212" spans="1:15" s="3" customFormat="1" ht="12.75">
      <c r="A212" s="39"/>
      <c r="B212" s="39"/>
      <c r="C212" s="39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</row>
    <row r="213" spans="1:15" s="3" customFormat="1" ht="12.75">
      <c r="A213" s="39"/>
      <c r="B213" s="39"/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</row>
    <row r="214" spans="1:15" s="3" customFormat="1" ht="12.75">
      <c r="A214" s="39"/>
      <c r="B214" s="39"/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</row>
    <row r="215" spans="1:15" s="3" customFormat="1" ht="12.75">
      <c r="A215" s="39"/>
      <c r="B215" s="39"/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</row>
    <row r="216" spans="1:15" s="3" customFormat="1" ht="12.75">
      <c r="A216" s="39"/>
      <c r="B216" s="39"/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</row>
    <row r="217" spans="1:15" s="3" customFormat="1" ht="12.75">
      <c r="A217" s="39"/>
      <c r="B217" s="39"/>
      <c r="C217" s="39"/>
      <c r="D217" s="39"/>
      <c r="M217" s="39"/>
      <c r="N217" s="39"/>
      <c r="O217" s="39"/>
    </row>
    <row r="218" spans="1:15" s="3" customFormat="1" ht="12.75">
      <c r="A218" s="39"/>
      <c r="B218" s="39"/>
      <c r="C218" s="39"/>
      <c r="D218" s="39"/>
      <c r="M218" s="39"/>
      <c r="N218" s="39"/>
      <c r="O218" s="39"/>
    </row>
    <row r="219" spans="1:15" s="3" customFormat="1" ht="12.75">
      <c r="A219" s="39"/>
      <c r="B219" s="39"/>
      <c r="C219" s="39"/>
      <c r="D219" s="39"/>
      <c r="M219" s="39"/>
      <c r="N219" s="39"/>
      <c r="O219" s="39"/>
    </row>
    <row r="220" spans="1:15" s="3" customFormat="1" ht="12.75">
      <c r="A220" s="39"/>
      <c r="B220" s="39"/>
      <c r="C220" s="39"/>
      <c r="D220" s="39"/>
      <c r="M220" s="39"/>
      <c r="N220" s="39"/>
      <c r="O220" s="39"/>
    </row>
    <row r="221" spans="1:15" s="3" customFormat="1" ht="12.75">
      <c r="A221" s="39"/>
      <c r="B221" s="39"/>
      <c r="C221" s="39"/>
      <c r="D221" s="39"/>
      <c r="M221" s="39"/>
      <c r="N221" s="39"/>
      <c r="O221" s="39"/>
    </row>
    <row r="222" spans="1:15" s="3" customFormat="1" ht="12.75">
      <c r="A222" s="39"/>
      <c r="B222" s="39"/>
      <c r="C222" s="39"/>
      <c r="D222" s="39"/>
      <c r="M222" s="39"/>
      <c r="N222" s="39"/>
      <c r="O222" s="39"/>
    </row>
    <row r="223" spans="1:15" s="3" customFormat="1" ht="12.75">
      <c r="A223" s="39"/>
      <c r="B223" s="39"/>
      <c r="C223" s="39"/>
      <c r="D223" s="39"/>
      <c r="M223" s="39"/>
      <c r="N223" s="39"/>
      <c r="O223" s="39"/>
    </row>
    <row r="224" spans="1:15" s="3" customFormat="1" ht="12.75">
      <c r="A224" s="39"/>
      <c r="B224" s="39"/>
      <c r="C224" s="39"/>
      <c r="D224" s="39"/>
      <c r="M224" s="39"/>
      <c r="N224" s="39"/>
      <c r="O224" s="39"/>
    </row>
    <row r="225" spans="1:15" s="3" customFormat="1" ht="12.75">
      <c r="A225" s="39"/>
      <c r="B225" s="39"/>
      <c r="C225" s="39"/>
      <c r="D225" s="39"/>
      <c r="M225" s="39"/>
      <c r="N225" s="39"/>
      <c r="O225" s="39"/>
    </row>
    <row r="226" spans="1:15" s="3" customFormat="1" ht="12.75">
      <c r="A226" s="39"/>
      <c r="B226" s="39"/>
      <c r="C226" s="39"/>
      <c r="D226" s="39"/>
      <c r="M226" s="39"/>
      <c r="N226" s="39"/>
      <c r="O226" s="39"/>
    </row>
    <row r="227" spans="1:15" s="3" customFormat="1" ht="12.75">
      <c r="A227" s="39"/>
      <c r="B227" s="39"/>
      <c r="C227" s="39"/>
      <c r="D227" s="39"/>
      <c r="M227" s="39"/>
      <c r="N227" s="39"/>
      <c r="O227" s="39"/>
    </row>
    <row r="228" spans="1:15" s="3" customFormat="1" ht="12.75">
      <c r="A228" s="39"/>
      <c r="B228" s="39"/>
      <c r="C228" s="39"/>
      <c r="D228" s="39"/>
      <c r="M228" s="39"/>
      <c r="N228" s="39"/>
      <c r="O228" s="39"/>
    </row>
    <row r="229" spans="1:15" s="3" customFormat="1" ht="12.75">
      <c r="A229" s="39"/>
      <c r="B229" s="39"/>
      <c r="C229" s="39"/>
      <c r="D229" s="39"/>
      <c r="M229" s="39"/>
      <c r="N229" s="39"/>
      <c r="O229" s="39"/>
    </row>
    <row r="230" s="3" customFormat="1" ht="12.75"/>
    <row r="231" s="3" customFormat="1" ht="12.75"/>
    <row r="232" s="3" customFormat="1" ht="12.75"/>
    <row r="233" s="3" customFormat="1" ht="12.75"/>
    <row r="234" s="3" customFormat="1" ht="12.75"/>
  </sheetData>
  <sheetProtection selectLockedCells="1" selectUnlockedCells="1"/>
  <mergeCells count="77">
    <mergeCell ref="A1:D1"/>
    <mergeCell ref="A2:I2"/>
    <mergeCell ref="A4:A5"/>
    <mergeCell ref="B4:I4"/>
    <mergeCell ref="B5:C5"/>
    <mergeCell ref="D5:E5"/>
    <mergeCell ref="F5:G5"/>
    <mergeCell ref="H5:I5"/>
    <mergeCell ref="B6:C6"/>
    <mergeCell ref="D6:E6"/>
    <mergeCell ref="F6:G6"/>
    <mergeCell ref="H6:I6"/>
    <mergeCell ref="B7:C7"/>
    <mergeCell ref="D7:E7"/>
    <mergeCell ref="F7:G7"/>
    <mergeCell ref="H7:I7"/>
    <mergeCell ref="B8:C8"/>
    <mergeCell ref="D8:E8"/>
    <mergeCell ref="F8:G8"/>
    <mergeCell ref="H8:I8"/>
    <mergeCell ref="B9:C9"/>
    <mergeCell ref="D9:E9"/>
    <mergeCell ref="F9:G9"/>
    <mergeCell ref="H9:I9"/>
    <mergeCell ref="B10:C10"/>
    <mergeCell ref="D10:E10"/>
    <mergeCell ref="F10:G10"/>
    <mergeCell ref="H10:I10"/>
    <mergeCell ref="B11:C11"/>
    <mergeCell ref="D11:E11"/>
    <mergeCell ref="F11:G11"/>
    <mergeCell ref="H11:I11"/>
    <mergeCell ref="B12:C12"/>
    <mergeCell ref="D12:E12"/>
    <mergeCell ref="F12:G12"/>
    <mergeCell ref="H12:I12"/>
    <mergeCell ref="B13:C13"/>
    <mergeCell ref="D13:E13"/>
    <mergeCell ref="F13:G13"/>
    <mergeCell ref="H13:I13"/>
    <mergeCell ref="J23:M23"/>
    <mergeCell ref="A87:I87"/>
    <mergeCell ref="A88:I88"/>
    <mergeCell ref="A89:I89"/>
    <mergeCell ref="A18:C18"/>
    <mergeCell ref="B19:C19"/>
    <mergeCell ref="B20:C20"/>
    <mergeCell ref="A23:A24"/>
    <mergeCell ref="B23:C23"/>
    <mergeCell ref="D23:E23"/>
    <mergeCell ref="F23:G23"/>
    <mergeCell ref="H23:I23"/>
    <mergeCell ref="D19:I19"/>
    <mergeCell ref="A108:I127"/>
    <mergeCell ref="B159:C159"/>
    <mergeCell ref="A90:I90"/>
    <mergeCell ref="A91:I91"/>
    <mergeCell ref="A92:I93"/>
    <mergeCell ref="A94:I96"/>
    <mergeCell ref="A97:I98"/>
    <mergeCell ref="A99:I102"/>
    <mergeCell ref="A105:I105"/>
    <mergeCell ref="A106:I107"/>
    <mergeCell ref="B14:C14"/>
    <mergeCell ref="D14:E14"/>
    <mergeCell ref="F14:G14"/>
    <mergeCell ref="H14:I14"/>
    <mergeCell ref="A103:I104"/>
    <mergeCell ref="A17:C17"/>
    <mergeCell ref="B15:C15"/>
    <mergeCell ref="D15:E15"/>
    <mergeCell ref="F15:G15"/>
    <mergeCell ref="H15:I15"/>
    <mergeCell ref="B39:C39"/>
    <mergeCell ref="D39:E39"/>
    <mergeCell ref="F39:G39"/>
    <mergeCell ref="H39:I39"/>
  </mergeCells>
  <dataValidations count="21">
    <dataValidation type="list" allowBlank="1" showInputMessage="1" showErrorMessage="1" sqref="A18:C18">
      <formula1>XLPKA</formula1>
    </dataValidation>
    <dataValidation type="list" allowBlank="1" showInputMessage="1" showErrorMessage="1" sqref="H13:I13">
      <formula1>WHMSA</formula1>
    </dataValidation>
    <dataValidation type="list" allowBlank="1" showInputMessage="1" showErrorMessage="1" sqref="F13:G13">
      <formula1>FIGQB</formula1>
    </dataValidation>
    <dataValidation type="list" allowBlank="1" showInputMessage="1" showErrorMessage="1" sqref="D13:E13">
      <formula1>VNIHD</formula1>
    </dataValidation>
    <dataValidation type="list" allowBlank="1" showInputMessage="1" showErrorMessage="1" sqref="B13:C13">
      <formula1>QPAFE</formula1>
    </dataValidation>
    <dataValidation type="list" allowBlank="1" showInputMessage="1" showErrorMessage="1" sqref="H12:I12">
      <formula1>OGGLT</formula1>
    </dataValidation>
    <dataValidation type="list" allowBlank="1" showInputMessage="1" showErrorMessage="1" sqref="F12:G12">
      <formula1>TAYYL</formula1>
    </dataValidation>
    <dataValidation type="list" allowBlank="1" showInputMessage="1" showErrorMessage="1" sqref="D12:E12">
      <formula1>PSAXR</formula1>
    </dataValidation>
    <dataValidation type="list" allowBlank="1" showInputMessage="1" showErrorMessage="1" sqref="B12:C12">
      <formula1>GQIBE</formula1>
    </dataValidation>
    <dataValidation type="list" allowBlank="1" showInputMessage="1" showErrorMessage="1" sqref="B11 D11 F11 H11">
      <formula1>"да, нет"</formula1>
    </dataValidation>
    <dataValidation type="decimal" operator="lessThanOrEqual" allowBlank="1" showInputMessage="1" showErrorMessage="1" sqref="H7 B7 D7 F7">
      <formula1>3</formula1>
    </dataValidation>
    <dataValidation type="list" allowBlank="1" showInputMessage="1" showErrorMessage="1" sqref="B6:C6">
      <formula1>JSLDC</formula1>
    </dataValidation>
    <dataValidation type="list" allowBlank="1" showInputMessage="1" showErrorMessage="1" sqref="D6:E6">
      <formula1>DYRFP</formula1>
    </dataValidation>
    <dataValidation type="list" allowBlank="1" showInputMessage="1" showErrorMessage="1" sqref="F6:G6">
      <formula1>GURGW</formula1>
    </dataValidation>
    <dataValidation type="list" allowBlank="1" showInputMessage="1" showErrorMessage="1" sqref="H6:I6">
      <formula1>XODFC</formula1>
    </dataValidation>
    <dataValidation type="list" allowBlank="1" showInputMessage="1" showErrorMessage="1" sqref="H14:I14">
      <formula1>CEXUI</formula1>
    </dataValidation>
    <dataValidation type="list" allowBlank="1" showInputMessage="1" showErrorMessage="1" sqref="F14:G14">
      <formula1>IANCJ</formula1>
    </dataValidation>
    <dataValidation type="list" allowBlank="1" showInputMessage="1" showErrorMessage="1" sqref="D14:E14">
      <formula1>MUGNQ</formula1>
    </dataValidation>
    <dataValidation type="list" allowBlank="1" showInputMessage="1" showErrorMessage="1" sqref="B14:C14">
      <formula1>BTYPS</formula1>
    </dataValidation>
    <dataValidation type="list" allowBlank="1" showInputMessage="1" showErrorMessage="1" sqref="A17:C17">
      <formula1>"Российская Федерация, Республика Беларусь"</formula1>
    </dataValidation>
    <dataValidation type="list" allowBlank="1" showInputMessage="1" showErrorMessage="1" sqref="B15:I15">
      <formula1>TokyoType</formula1>
    </dataValidation>
  </dataValidations>
  <printOptions horizontalCentered="1"/>
  <pageMargins left="0.25" right="0.25" top="0.75" bottom="0.75" header="0.3" footer="0.3"/>
  <pageSetup fitToHeight="2" fitToWidth="1" horizontalDpi="300" verticalDpi="300" orientation="portrait" paperSize="9" scale="58" r:id="rId2"/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CC00"/>
    <pageSetUpPr fitToPage="1"/>
  </sheetPr>
  <dimension ref="A1:AH226"/>
  <sheetViews>
    <sheetView zoomScale="75" zoomScaleNormal="75" zoomScaleSheetLayoutView="50" zoomScalePageLayoutView="55" workbookViewId="0" topLeftCell="A1">
      <pane ySplit="17" topLeftCell="A18" activePane="bottomLeft" state="frozen"/>
      <selection pane="topLeft" activeCell="A2" sqref="A2:I2"/>
      <selection pane="bottomLeft" activeCell="A2" sqref="A2:I2"/>
    </sheetView>
  </sheetViews>
  <sheetFormatPr defaultColWidth="9.140625" defaultRowHeight="15"/>
  <cols>
    <col min="1" max="1" width="63.140625" style="2" customWidth="1"/>
    <col min="2" max="2" width="14.00390625" style="2" customWidth="1"/>
    <col min="3" max="3" width="13.140625" style="2" customWidth="1"/>
    <col min="4" max="4" width="15.57421875" style="2" customWidth="1"/>
    <col min="5" max="6" width="14.421875" style="2" customWidth="1"/>
    <col min="7" max="7" width="12.57421875" style="2" customWidth="1"/>
    <col min="8" max="8" width="13.57421875" style="2" customWidth="1"/>
    <col min="9" max="9" width="14.8515625" style="2" customWidth="1"/>
    <col min="10" max="10" width="14.140625" style="2" hidden="1" customWidth="1"/>
    <col min="11" max="11" width="14.00390625" style="2" hidden="1" customWidth="1"/>
    <col min="12" max="13" width="13.7109375" style="2" hidden="1" customWidth="1"/>
    <col min="14" max="14" width="25.28125" style="2" customWidth="1"/>
    <col min="15" max="15" width="15.421875" style="2" customWidth="1"/>
    <col min="16" max="16" width="9.00390625" style="2" customWidth="1"/>
    <col min="17" max="17" width="13.8515625" style="2" customWidth="1"/>
    <col min="18" max="18" width="10.8515625" style="2" customWidth="1"/>
    <col min="19" max="16384" width="9.140625" style="2" customWidth="1"/>
  </cols>
  <sheetData>
    <row r="1" spans="1:9" ht="12.75">
      <c r="A1" s="190"/>
      <c r="B1" s="190"/>
      <c r="C1" s="190"/>
      <c r="D1" s="190"/>
      <c r="E1" s="1"/>
      <c r="F1" s="1"/>
      <c r="H1" s="70" t="s">
        <v>230</v>
      </c>
      <c r="I1" s="4">
        <v>45131</v>
      </c>
    </row>
    <row r="2" spans="1:15" ht="27" customHeight="1" thickBot="1">
      <c r="A2" s="193" t="s">
        <v>366</v>
      </c>
      <c r="B2" s="193"/>
      <c r="C2" s="193"/>
      <c r="D2" s="193"/>
      <c r="E2" s="193"/>
      <c r="F2" s="193"/>
      <c r="G2" s="193"/>
      <c r="H2" s="193"/>
      <c r="I2" s="193"/>
      <c r="J2" s="73"/>
      <c r="K2" s="70"/>
      <c r="L2" s="70"/>
      <c r="O2" s="4"/>
    </row>
    <row r="3" spans="1:15" ht="16.5" customHeight="1">
      <c r="A3" s="5"/>
      <c r="B3" s="6"/>
      <c r="H3" s="7"/>
      <c r="I3" s="7"/>
      <c r="K3" s="8"/>
      <c r="L3" s="8"/>
      <c r="M3" s="8"/>
      <c r="N3" s="9"/>
      <c r="O3" s="9"/>
    </row>
    <row r="4" spans="1:15" ht="16.5" customHeight="1">
      <c r="A4" s="189" t="s">
        <v>263</v>
      </c>
      <c r="B4" s="195" t="s">
        <v>65</v>
      </c>
      <c r="C4" s="195"/>
      <c r="D4" s="195"/>
      <c r="E4" s="195"/>
      <c r="F4" s="195"/>
      <c r="G4" s="195"/>
      <c r="H4" s="195"/>
      <c r="I4" s="195"/>
      <c r="K4" s="8"/>
      <c r="L4" s="8"/>
      <c r="M4" s="8"/>
      <c r="N4" s="9"/>
      <c r="O4" s="9"/>
    </row>
    <row r="5" spans="1:15" ht="16.5" customHeight="1">
      <c r="A5" s="189"/>
      <c r="B5" s="196" t="s">
        <v>71</v>
      </c>
      <c r="C5" s="196"/>
      <c r="D5" s="196" t="s">
        <v>72</v>
      </c>
      <c r="E5" s="196"/>
      <c r="F5" s="196" t="s">
        <v>73</v>
      </c>
      <c r="G5" s="196"/>
      <c r="H5" s="196" t="s">
        <v>74</v>
      </c>
      <c r="I5" s="196"/>
      <c r="N5" s="9"/>
      <c r="O5" s="9"/>
    </row>
    <row r="6" spans="1:15" ht="16.5" customHeight="1">
      <c r="A6" s="97" t="s">
        <v>132</v>
      </c>
      <c r="B6" s="191" t="s">
        <v>267</v>
      </c>
      <c r="C6" s="231"/>
      <c r="D6" s="231"/>
      <c r="E6" s="231"/>
      <c r="F6" s="231"/>
      <c r="G6" s="231"/>
      <c r="H6" s="231"/>
      <c r="I6" s="192"/>
      <c r="N6" s="6" t="s">
        <v>234</v>
      </c>
      <c r="O6" s="9"/>
    </row>
    <row r="7" spans="1:15" ht="16.5" customHeight="1">
      <c r="A7" s="97" t="s">
        <v>133</v>
      </c>
      <c r="B7" s="191" t="s">
        <v>28</v>
      </c>
      <c r="C7" s="231"/>
      <c r="D7" s="231"/>
      <c r="E7" s="231"/>
      <c r="F7" s="231"/>
      <c r="G7" s="231"/>
      <c r="H7" s="231"/>
      <c r="I7" s="192"/>
      <c r="N7" s="6" t="s">
        <v>234</v>
      </c>
      <c r="O7" s="9"/>
    </row>
    <row r="8" spans="1:15" ht="16.5" customHeight="1">
      <c r="A8" s="96" t="s">
        <v>231</v>
      </c>
      <c r="B8" s="194">
        <v>0</v>
      </c>
      <c r="C8" s="194"/>
      <c r="D8" s="194">
        <v>0</v>
      </c>
      <c r="E8" s="194"/>
      <c r="F8" s="194">
        <v>0</v>
      </c>
      <c r="G8" s="194"/>
      <c r="H8" s="194">
        <v>0</v>
      </c>
      <c r="I8" s="194"/>
      <c r="N8" s="6" t="s">
        <v>234</v>
      </c>
      <c r="O8" s="9"/>
    </row>
    <row r="9" spans="1:15" ht="16.5" customHeight="1">
      <c r="A9" s="96" t="s">
        <v>80</v>
      </c>
      <c r="B9" s="194">
        <v>0</v>
      </c>
      <c r="C9" s="194"/>
      <c r="D9" s="194">
        <v>0</v>
      </c>
      <c r="E9" s="194"/>
      <c r="F9" s="194">
        <v>0</v>
      </c>
      <c r="G9" s="194"/>
      <c r="H9" s="194">
        <v>0</v>
      </c>
      <c r="I9" s="194"/>
      <c r="N9" s="6" t="s">
        <v>236</v>
      </c>
      <c r="O9" s="9"/>
    </row>
    <row r="10" spans="1:15" ht="16.5" customHeight="1">
      <c r="A10" s="96" t="s">
        <v>83</v>
      </c>
      <c r="B10" s="194">
        <v>0</v>
      </c>
      <c r="C10" s="194"/>
      <c r="D10" s="194">
        <v>0</v>
      </c>
      <c r="E10" s="194"/>
      <c r="F10" s="194">
        <v>0</v>
      </c>
      <c r="G10" s="194"/>
      <c r="H10" s="194">
        <v>0</v>
      </c>
      <c r="I10" s="194"/>
      <c r="N10" s="6" t="s">
        <v>237</v>
      </c>
      <c r="O10" s="9"/>
    </row>
    <row r="11" spans="1:15" ht="16.5" customHeight="1">
      <c r="A11" s="97" t="s">
        <v>85</v>
      </c>
      <c r="B11" s="194">
        <v>0</v>
      </c>
      <c r="C11" s="194"/>
      <c r="D11" s="194">
        <v>0</v>
      </c>
      <c r="E11" s="194"/>
      <c r="F11" s="194">
        <v>0</v>
      </c>
      <c r="G11" s="194"/>
      <c r="H11" s="194">
        <v>0</v>
      </c>
      <c r="I11" s="194"/>
      <c r="N11" s="6" t="s">
        <v>237</v>
      </c>
      <c r="O11" s="9"/>
    </row>
    <row r="12" spans="1:15" ht="16.5" customHeight="1">
      <c r="A12" s="97" t="s">
        <v>312</v>
      </c>
      <c r="B12" s="194">
        <v>0</v>
      </c>
      <c r="C12" s="194"/>
      <c r="D12" s="194">
        <v>0</v>
      </c>
      <c r="E12" s="194"/>
      <c r="F12" s="194">
        <v>0</v>
      </c>
      <c r="G12" s="194"/>
      <c r="H12" s="194">
        <v>0</v>
      </c>
      <c r="I12" s="194"/>
      <c r="N12" s="6" t="s">
        <v>237</v>
      </c>
      <c r="O12" s="9"/>
    </row>
    <row r="13" spans="1:15" ht="16.5" customHeight="1">
      <c r="A13" s="96" t="s">
        <v>90</v>
      </c>
      <c r="B13" s="194" t="s">
        <v>91</v>
      </c>
      <c r="C13" s="194"/>
      <c r="D13" s="194" t="s">
        <v>91</v>
      </c>
      <c r="E13" s="194"/>
      <c r="F13" s="194" t="s">
        <v>91</v>
      </c>
      <c r="G13" s="194"/>
      <c r="H13" s="194" t="s">
        <v>91</v>
      </c>
      <c r="I13" s="194"/>
      <c r="N13" s="6" t="s">
        <v>234</v>
      </c>
      <c r="O13" s="9"/>
    </row>
    <row r="14" spans="1:15" ht="12.75">
      <c r="A14" s="96" t="s">
        <v>270</v>
      </c>
      <c r="B14" s="197" t="s">
        <v>91</v>
      </c>
      <c r="C14" s="198"/>
      <c r="D14" s="197" t="s">
        <v>91</v>
      </c>
      <c r="E14" s="198"/>
      <c r="F14" s="197" t="s">
        <v>91</v>
      </c>
      <c r="G14" s="198"/>
      <c r="H14" s="197" t="s">
        <v>91</v>
      </c>
      <c r="I14" s="198"/>
      <c r="N14" s="6" t="s">
        <v>234</v>
      </c>
      <c r="O14" s="9"/>
    </row>
    <row r="15" spans="1:15" ht="32.25" customHeight="1">
      <c r="A15" s="96" t="s">
        <v>271</v>
      </c>
      <c r="B15" s="197" t="s">
        <v>91</v>
      </c>
      <c r="C15" s="198"/>
      <c r="D15" s="197" t="s">
        <v>91</v>
      </c>
      <c r="E15" s="198"/>
      <c r="F15" s="197" t="s">
        <v>91</v>
      </c>
      <c r="G15" s="198"/>
      <c r="H15" s="197" t="s">
        <v>91</v>
      </c>
      <c r="I15" s="198"/>
      <c r="N15" s="6" t="s">
        <v>234</v>
      </c>
      <c r="O15" s="9"/>
    </row>
    <row r="16" spans="1:15" ht="12.75">
      <c r="A16" s="96" t="s">
        <v>285</v>
      </c>
      <c r="B16" s="197" t="s">
        <v>28</v>
      </c>
      <c r="C16" s="198"/>
      <c r="D16" s="197" t="s">
        <v>28</v>
      </c>
      <c r="E16" s="198"/>
      <c r="F16" s="197" t="s">
        <v>28</v>
      </c>
      <c r="G16" s="198"/>
      <c r="H16" s="197" t="s">
        <v>28</v>
      </c>
      <c r="I16" s="198"/>
      <c r="N16" s="6" t="s">
        <v>234</v>
      </c>
      <c r="O16" s="9"/>
    </row>
    <row r="17" spans="1:15" ht="30.75" customHeight="1">
      <c r="A17" s="205" t="s">
        <v>272</v>
      </c>
      <c r="B17" s="205"/>
      <c r="C17" s="205"/>
      <c r="D17" s="205"/>
      <c r="E17" s="205"/>
      <c r="F17" s="205"/>
      <c r="G17" s="205"/>
      <c r="H17" s="205"/>
      <c r="I17" s="205"/>
      <c r="K17" s="8"/>
      <c r="L17" s="8"/>
      <c r="M17" s="8"/>
      <c r="N17" s="9"/>
      <c r="O17" s="9"/>
    </row>
    <row r="18" spans="8:15" ht="16.5" customHeight="1">
      <c r="H18" s="7"/>
      <c r="I18" s="7"/>
      <c r="K18" s="8"/>
      <c r="L18" s="8"/>
      <c r="M18" s="8"/>
      <c r="N18" s="9"/>
      <c r="O18" s="9"/>
    </row>
    <row r="19" spans="1:15" ht="16.5" customHeight="1">
      <c r="A19" s="203" t="s">
        <v>345</v>
      </c>
      <c r="B19" s="203"/>
      <c r="C19" s="203"/>
      <c r="D19" s="6" t="s">
        <v>346</v>
      </c>
      <c r="H19" s="7"/>
      <c r="I19" s="7"/>
      <c r="K19" s="8"/>
      <c r="L19" s="8"/>
      <c r="M19" s="8"/>
      <c r="N19" s="9"/>
      <c r="O19" s="9"/>
    </row>
    <row r="20" spans="1:15" ht="21.75" customHeight="1">
      <c r="A20" s="203" t="s">
        <v>235</v>
      </c>
      <c r="B20" s="203"/>
      <c r="C20" s="203"/>
      <c r="D20" s="6" t="s">
        <v>240</v>
      </c>
      <c r="H20" s="7"/>
      <c r="I20" s="7"/>
      <c r="K20" s="8"/>
      <c r="L20" s="8"/>
      <c r="M20" s="8"/>
      <c r="N20" s="9"/>
      <c r="O20" s="9"/>
    </row>
    <row r="21" spans="1:15" ht="31.5" customHeight="1">
      <c r="A21" s="47" t="s">
        <v>264</v>
      </c>
      <c r="B21" s="223">
        <f>IF(A19="Республика Беларусь",(J112+K112+L112+M112)*Belarus,J112+K112+L112+M112)</f>
        <v>0</v>
      </c>
      <c r="C21" s="223"/>
      <c r="D21" s="233" t="s">
        <v>287</v>
      </c>
      <c r="E21" s="234"/>
      <c r="F21" s="234"/>
      <c r="G21" s="234"/>
      <c r="H21" s="234"/>
      <c r="I21" s="234"/>
      <c r="K21" s="8"/>
      <c r="L21" s="8"/>
      <c r="M21" s="8"/>
      <c r="N21" s="9"/>
      <c r="O21" s="9"/>
    </row>
    <row r="22" spans="1:15" ht="16.5" customHeight="1">
      <c r="A22" s="67" t="s">
        <v>260</v>
      </c>
      <c r="B22" s="201">
        <f>IF(OR(B10=0,B9=0),0,B21/(B10*B9+D10*D9+F10*F9+H10*H9))</f>
        <v>0</v>
      </c>
      <c r="C22" s="201"/>
      <c r="H22" s="7"/>
      <c r="I22" s="7"/>
      <c r="K22" s="8"/>
      <c r="L22" s="8"/>
      <c r="M22" s="8"/>
      <c r="N22" s="9"/>
      <c r="O22" s="9"/>
    </row>
    <row r="23" spans="1:15" ht="16.5" customHeight="1">
      <c r="A23" s="6" t="s">
        <v>258</v>
      </c>
      <c r="B23" s="6"/>
      <c r="H23" s="7"/>
      <c r="I23" s="7"/>
      <c r="K23" s="8"/>
      <c r="L23" s="8"/>
      <c r="M23" s="8"/>
      <c r="N23" s="9"/>
      <c r="O23" s="9"/>
    </row>
    <row r="24" spans="1:15" ht="16.5" customHeight="1">
      <c r="A24" s="5"/>
      <c r="B24" s="6"/>
      <c r="H24" s="7"/>
      <c r="I24" s="7"/>
      <c r="K24" s="8"/>
      <c r="L24" s="8"/>
      <c r="M24" s="8"/>
      <c r="N24" s="9"/>
      <c r="O24" s="9"/>
    </row>
    <row r="25" spans="1:15" ht="16.5" customHeight="1">
      <c r="A25" s="195" t="s">
        <v>265</v>
      </c>
      <c r="B25" s="220" t="s">
        <v>2</v>
      </c>
      <c r="C25" s="221"/>
      <c r="D25" s="221" t="s">
        <v>3</v>
      </c>
      <c r="E25" s="221"/>
      <c r="F25" s="221" t="s">
        <v>4</v>
      </c>
      <c r="G25" s="221"/>
      <c r="H25" s="221" t="s">
        <v>5</v>
      </c>
      <c r="I25" s="222"/>
      <c r="J25" s="217" t="s">
        <v>6</v>
      </c>
      <c r="K25" s="217"/>
      <c r="L25" s="217"/>
      <c r="M25" s="217"/>
      <c r="O25" s="9"/>
    </row>
    <row r="26" spans="1:15" ht="16.5" customHeight="1">
      <c r="A26" s="195"/>
      <c r="B26" s="98" t="s">
        <v>15</v>
      </c>
      <c r="C26" s="99" t="s">
        <v>16</v>
      </c>
      <c r="D26" s="100" t="s">
        <v>15</v>
      </c>
      <c r="E26" s="99" t="s">
        <v>16</v>
      </c>
      <c r="F26" s="100" t="s">
        <v>15</v>
      </c>
      <c r="G26" s="99" t="s">
        <v>16</v>
      </c>
      <c r="H26" s="100" t="s">
        <v>15</v>
      </c>
      <c r="I26" s="98" t="s">
        <v>16</v>
      </c>
      <c r="J26" s="74">
        <v>1</v>
      </c>
      <c r="K26" s="74">
        <v>2</v>
      </c>
      <c r="L26" s="74">
        <v>3</v>
      </c>
      <c r="M26" s="74">
        <v>4</v>
      </c>
      <c r="O26" s="9"/>
    </row>
    <row r="27" spans="1:15" ht="16.5" customHeight="1">
      <c r="A27" s="101" t="s">
        <v>155</v>
      </c>
      <c r="B27" s="101"/>
      <c r="C27" s="102"/>
      <c r="D27" s="103"/>
      <c r="E27" s="104"/>
      <c r="F27" s="103"/>
      <c r="G27" s="104"/>
      <c r="H27" s="103"/>
      <c r="I27" s="105"/>
      <c r="J27" s="75"/>
      <c r="K27" s="75"/>
      <c r="L27" s="75"/>
      <c r="M27" s="75"/>
      <c r="O27" s="9"/>
    </row>
    <row r="28" spans="1:15" ht="16.5" customHeight="1">
      <c r="A28" s="67" t="s">
        <v>120</v>
      </c>
      <c r="B28" s="78">
        <f>IF(C28=0,0,B9-0.01)</f>
        <v>0</v>
      </c>
      <c r="C28" s="79">
        <f>IF($B$6="ламель 125",IF(B10=0,0,B10*VLOOKUP(B8,Данные!$A$75:$G$116,2,FALSE)),0)</f>
        <v>0</v>
      </c>
      <c r="D28" s="78">
        <f>IF(E28=0,0,D9-0.01)</f>
        <v>0</v>
      </c>
      <c r="E28" s="79">
        <f>IF($B$6="ламель 125",IF(D10=0,0,D10*VLOOKUP(D8,Данные!$A$75:$G$116,2,FALSE)),0)</f>
        <v>0</v>
      </c>
      <c r="F28" s="78">
        <f>IF(G28=0,0,F9-0.01)</f>
        <v>0</v>
      </c>
      <c r="G28" s="79">
        <f>IF($B$6="ламель 125",IF(F10=0,0,F10*VLOOKUP(F8,Данные!$A$75:$G$116,2,FALSE)),0)</f>
        <v>0</v>
      </c>
      <c r="H28" s="80">
        <f>IF(I28=0,0,H9-0.01)</f>
        <v>0</v>
      </c>
      <c r="I28" s="81">
        <f>IF($B$6="ламель 125",IF(H10=0,0,H10*VLOOKUP(H8,Данные!$A$75:$G$116,2,FALSE)),0)</f>
        <v>0</v>
      </c>
      <c r="J28" s="76">
        <f>IF(C28=0,0,VLOOKUP($A$20,'Цены Жалюзи'!$B$130:$R$154,2,FALSE)*B28*C28)</f>
        <v>0</v>
      </c>
      <c r="K28" s="76">
        <f>IF(E28=0,0,VLOOKUP($A$20,'Цены Жалюзи'!$B$130:$R$154,2,FALSE)*D28*E28)</f>
        <v>0</v>
      </c>
      <c r="L28" s="76">
        <f>IF(G28=0,0,VLOOKUP($A$20,'Цены Жалюзи'!$B$130:$R$154,2,FALSE)*F28*G28)</f>
        <v>0</v>
      </c>
      <c r="M28" s="76">
        <f>IF(I28=0,0,VLOOKUP($A$20,'Цены Жалюзи'!$B$130:$R$154,2,FALSE)*H28*I28)</f>
        <v>0</v>
      </c>
      <c r="O28" s="9"/>
    </row>
    <row r="29" spans="1:15" ht="16.5" customHeight="1">
      <c r="A29" s="67" t="s">
        <v>121</v>
      </c>
      <c r="B29" s="78">
        <f aca="true" t="shared" si="0" ref="B29:I29">B28</f>
        <v>0</v>
      </c>
      <c r="C29" s="79">
        <f t="shared" si="0"/>
        <v>0</v>
      </c>
      <c r="D29" s="78">
        <f t="shared" si="0"/>
        <v>0</v>
      </c>
      <c r="E29" s="79">
        <f t="shared" si="0"/>
        <v>0</v>
      </c>
      <c r="F29" s="78">
        <f t="shared" si="0"/>
        <v>0</v>
      </c>
      <c r="G29" s="79">
        <f t="shared" si="0"/>
        <v>0</v>
      </c>
      <c r="H29" s="80">
        <f t="shared" si="0"/>
        <v>0</v>
      </c>
      <c r="I29" s="81">
        <f t="shared" si="0"/>
        <v>0</v>
      </c>
      <c r="J29" s="76">
        <f>IF(C29=0,0,VLOOKUP($A$20,'Цены Жалюзи'!$B$130:$R$154,3,FALSE)*B29*C29)</f>
        <v>0</v>
      </c>
      <c r="K29" s="76">
        <f>IF(E29=0,0,VLOOKUP($A$20,'Цены Жалюзи'!$B$130:$R$154,3,FALSE)*D29*E29)</f>
        <v>0</v>
      </c>
      <c r="L29" s="76">
        <f>IF(G29=0,0,VLOOKUP($A$20,'Цены Жалюзи'!$B$130:$R$154,3,FALSE)*F29*G29)</f>
        <v>0</v>
      </c>
      <c r="M29" s="76">
        <f>IF(I29=0,0,VLOOKUP($A$20,'Цены Жалюзи'!$B$130:$R$154,3,FALSE)*H29*I29)</f>
        <v>0</v>
      </c>
      <c r="O29" s="9"/>
    </row>
    <row r="30" spans="1:15" ht="16.5" customHeight="1">
      <c r="A30" s="67" t="s">
        <v>122</v>
      </c>
      <c r="B30" s="78">
        <f>IF(C30=0,0,B9-0.01)</f>
        <v>0</v>
      </c>
      <c r="C30" s="79">
        <f>IF($B$6="ламель 150",IF($B$7="меньше (25-50мм в зависимости от высоты забора)",IF(B10=0,0,B10*VLOOKUP(B8,Данные!$A$75:$G$116,4,FALSE)),IF(B10=0,0,B10*VLOOKUP(B8,Данные!$A$75:$G$116,6,FALSE))),0)</f>
        <v>0</v>
      </c>
      <c r="D30" s="78">
        <f>IF(E30=0,0,D9-0.01)</f>
        <v>0</v>
      </c>
      <c r="E30" s="79">
        <f>IF($B$6="ламель 150",IF($B$7="меньше (25-50мм в зависимости от высоты забора)",IF(D10=0,0,D10*VLOOKUP(D8,Данные!$A$75:$G$116,4,FALSE)),IF(D10=0,0,D10*VLOOKUP(D8,Данные!$A$75:$G$116,6,FALSE))),0)</f>
        <v>0</v>
      </c>
      <c r="F30" s="78">
        <f>IF(G30=0,0,F9-0.01)</f>
        <v>0</v>
      </c>
      <c r="G30" s="79">
        <f>IF($B$6="ламель 150",IF($B$7="меньше (25-50мм в зависимости от высоты забора)",IF(F10=0,0,F10*VLOOKUP(F8,Данные!$A$75:$G$116,4,FALSE)),IF(F10=0,0,F10*VLOOKUP(F8,Данные!$A$75:$G$116,6,FALSE))),0)</f>
        <v>0</v>
      </c>
      <c r="H30" s="80">
        <f>IF(I30=0,0,H9-0.01)</f>
        <v>0</v>
      </c>
      <c r="I30" s="81">
        <f>IF($B$6="ламель 150",IF($B$7="меньше (25-50мм в зависимости от высоты забора)",IF(H10=0,0,H10*VLOOKUP(H8,Данные!$A$75:$G$116,4,FALSE)),IF(H10=0,0,H10*VLOOKUP(H8,Данные!$A$75:$G$116,6,FALSE))),0)</f>
        <v>0</v>
      </c>
      <c r="J30" s="76">
        <f>IF(C30=0,0,VLOOKUP($A$20,'Цены Жалюзи'!$B$130:$R$154,4,FALSE)*B30*C30)</f>
        <v>0</v>
      </c>
      <c r="K30" s="76">
        <f>IF(E30=0,0,VLOOKUP($A$20,'Цены Жалюзи'!$B$130:$R$154,4,FALSE)*D30*E30)</f>
        <v>0</v>
      </c>
      <c r="L30" s="76">
        <f>IF(G30=0,0,VLOOKUP($A$20,'Цены Жалюзи'!$B$130:$R$154,4,FALSE)*F30*G30)</f>
        <v>0</v>
      </c>
      <c r="M30" s="76">
        <f>IF(I30=0,0,VLOOKUP($A$20,'Цены Жалюзи'!$B$130:$R$154,4,FALSE)*H30*I30)</f>
        <v>0</v>
      </c>
      <c r="O30" s="9"/>
    </row>
    <row r="31" spans="1:15" ht="16.5" customHeight="1">
      <c r="A31" s="67" t="s">
        <v>123</v>
      </c>
      <c r="B31" s="78">
        <f aca="true" t="shared" si="1" ref="B31:I31">B30</f>
        <v>0</v>
      </c>
      <c r="C31" s="79">
        <f t="shared" si="1"/>
        <v>0</v>
      </c>
      <c r="D31" s="78">
        <f t="shared" si="1"/>
        <v>0</v>
      </c>
      <c r="E31" s="79">
        <f t="shared" si="1"/>
        <v>0</v>
      </c>
      <c r="F31" s="78">
        <f t="shared" si="1"/>
        <v>0</v>
      </c>
      <c r="G31" s="79">
        <f t="shared" si="1"/>
        <v>0</v>
      </c>
      <c r="H31" s="80">
        <f t="shared" si="1"/>
        <v>0</v>
      </c>
      <c r="I31" s="81">
        <f t="shared" si="1"/>
        <v>0</v>
      </c>
      <c r="J31" s="76">
        <f>IF(C31=0,0,VLOOKUP($A$20,'Цены Жалюзи'!$B$130:$R$154,5,FALSE)*B31*C31)</f>
        <v>0</v>
      </c>
      <c r="K31" s="76">
        <f>IF(E31=0,0,VLOOKUP($A$20,'Цены Жалюзи'!$B$130:$R$154,5,FALSE)*D31*E31)</f>
        <v>0</v>
      </c>
      <c r="L31" s="76">
        <f>IF(G31=0,0,VLOOKUP($A$20,'Цены Жалюзи'!$B$130:$R$154,5,FALSE)*F31*G31)</f>
        <v>0</v>
      </c>
      <c r="M31" s="76">
        <f>IF(I31=0,0,VLOOKUP($A$20,'Цены Жалюзи'!$B$130:$R$154,5,FALSE)*H31*I31)</f>
        <v>0</v>
      </c>
      <c r="O31" s="9"/>
    </row>
    <row r="32" spans="1:15" ht="16.5" customHeight="1">
      <c r="A32" s="67" t="s">
        <v>127</v>
      </c>
      <c r="B32" s="78" t="str">
        <f>IF($B$6="ламель 125",VLOOKUP(B8,Данные!$A$75:$G$116,3,FALSE),IF(AND($B$6="ламель 150",OR($B$7="-",$B$7="меньше (25-50мм в зависимости от высоты забора)")),VLOOKUP(B8,Данные!$A$75:$G$116,5,FALSE),IF(AND($B$6="ламель 150",$B$7="больше (50-80мм в зависимости от высоты забора)"),VLOOKUP(B8,Данные!$A$75:$G$116,7,FALSE),"-")))</f>
        <v>-</v>
      </c>
      <c r="C32" s="79"/>
      <c r="D32" s="78" t="str">
        <f>IF($B$6="ламель 125",VLOOKUP(D8,Данные!$A$75:$G$116,3,FALSE),IF(AND($B$6="ламель 150",OR($B$7="-",$B$7="меньше (25-50мм в зависимости от высоты забора)")),VLOOKUP(D8,Данные!$A$75:$G$116,5,FALSE),IF(AND($B$6="ламель 150",$B$7="больше (50-80мм в зависимости от высоты забора)"),VLOOKUP(D8,Данные!$A$75:$G$116,7,FALSE),"-")))</f>
        <v>-</v>
      </c>
      <c r="E32" s="79"/>
      <c r="F32" s="78" t="str">
        <f>IF($B$6="ламель 125",VLOOKUP(F8,Данные!$A$75:$G$116,3,FALSE),IF(AND($B$6="ламель 150",OR($B$7="-",$B$7="меньше (25-50мм в зависимости от высоты забора)")),VLOOKUP(F8,Данные!$A$75:$G$116,5,FALSE),IF(AND($B$6="ламель 150",$B$7="больше (50-80мм в зависимости от высоты забора)"),VLOOKUP(F8,Данные!$A$75:$G$116,7,FALSE),"-")))</f>
        <v>-</v>
      </c>
      <c r="G32" s="79"/>
      <c r="H32" s="80" t="str">
        <f>IF($B$6="ламель 125",VLOOKUP(H8,Данные!$A$75:$G$116,3,FALSE),IF(AND($B$6="ламель 150",OR($B$7="-",$B$7="меньше (25-50мм в зависимости от высоты забора)")),VLOOKUP(H8,Данные!$A$75:$G$116,5,FALSE),IF(AND($B$6="ламель 150",$B$7="больше (50-80мм в зависимости от высоты забора)"),VLOOKUP(H8,Данные!$A$75:$G$116,7,FALSE),"-")))</f>
        <v>-</v>
      </c>
      <c r="I32" s="81"/>
      <c r="J32" s="76"/>
      <c r="K32" s="76"/>
      <c r="L32" s="76"/>
      <c r="M32" s="76"/>
      <c r="O32" s="9"/>
    </row>
    <row r="33" spans="1:15" ht="16.5" customHeight="1">
      <c r="A33" s="67" t="s">
        <v>124</v>
      </c>
      <c r="B33" s="78">
        <f>IF(C33=0,0,B9)</f>
        <v>0</v>
      </c>
      <c r="C33" s="79">
        <f>IF(C35&gt;0,0,IF(OR($B$6="ламель 125",AND($B$6="ламель 150",OR($B$7="-",$B$7="меньше (25-50мм в зависимости от высоты забора)"))),B10,0))</f>
        <v>0</v>
      </c>
      <c r="D33" s="78">
        <f>IF(E33=0,0,D9)</f>
        <v>0</v>
      </c>
      <c r="E33" s="79">
        <f>IF(E35&gt;0,0,IF(OR($B$6="ламель 125",AND($B$6="ламель 150",OR($B$7="-",$B$7="меньше (25-50мм в зависимости от высоты забора)"))),D10,0))</f>
        <v>0</v>
      </c>
      <c r="F33" s="78">
        <f>IF(G33=0,0,F9)</f>
        <v>0</v>
      </c>
      <c r="G33" s="79">
        <f>IF(G35&gt;0,0,IF(OR($B$6="ламель 125",AND($B$6="ламель 150",OR($B$7="-",$B$7="меньше (25-50мм в зависимости от высоты забора)"))),F10,0))</f>
        <v>0</v>
      </c>
      <c r="H33" s="80">
        <f>IF(I33=0,0,H9)</f>
        <v>0</v>
      </c>
      <c r="I33" s="81">
        <f>IF(I35&gt;0,0,IF(OR($B$6="ламель 125",AND($B$6="ламель 150",OR($B$7="-",$B$7="меньше (25-50мм в зависимости от высоты забора)"))),H10,0))</f>
        <v>0</v>
      </c>
      <c r="J33" s="76">
        <f>IF(C33=0,0,VLOOKUP($A$20,'Цены Жалюзи'!$B$130:$R$154,6,FALSE)*B33*C33)</f>
        <v>0</v>
      </c>
      <c r="K33" s="76">
        <f>IF(E33=0,0,VLOOKUP($A$20,'Цены Жалюзи'!$B$130:$R$154,6,FALSE)*D33*E33)</f>
        <v>0</v>
      </c>
      <c r="L33" s="76">
        <f>IF(G33=0,0,VLOOKUP($A$20,'Цены Жалюзи'!$B$130:$R$154,6,FALSE)*F33*G33)</f>
        <v>0</v>
      </c>
      <c r="M33" s="76">
        <f>IF(I33=0,0,VLOOKUP($A$20,'Цены Жалюзи'!$B$130:$R$154,6,FALSE)*H33*I33)</f>
        <v>0</v>
      </c>
      <c r="O33" s="9"/>
    </row>
    <row r="34" spans="1:15" ht="16.5" customHeight="1">
      <c r="A34" s="67" t="s">
        <v>125</v>
      </c>
      <c r="B34" s="78">
        <f>IF(C34=0,0,B9)</f>
        <v>0</v>
      </c>
      <c r="C34" s="79">
        <f>IF(C35&gt;0,0,IF(AND($B$6="ламель 150",$B$7="больше (50-80мм в зависимости от высоты забора)"),B10,0))</f>
        <v>0</v>
      </c>
      <c r="D34" s="78">
        <f>IF(E34=0,0,D9)</f>
        <v>0</v>
      </c>
      <c r="E34" s="79">
        <f>IF(E35&gt;0,0,IF(AND($B$6="ламель 150",$B$7="больше (50-80мм в зависимости от высоты забора)"),D10,0))</f>
        <v>0</v>
      </c>
      <c r="F34" s="78">
        <f>IF(G34=0,0,F9)</f>
        <v>0</v>
      </c>
      <c r="G34" s="79">
        <f>IF(G35&gt;0,0,IF(AND($B$6="ламель 150",$B$7="больше (50-80мм в зависимости от высоты забора)"),F10,0))</f>
        <v>0</v>
      </c>
      <c r="H34" s="80">
        <f>IF(I34=0,0,H9)</f>
        <v>0</v>
      </c>
      <c r="I34" s="81">
        <f>IF(I35&gt;0,0,IF(AND($B$6="ламель 150",$B$7="больше (50-80мм в зависимости от высоты забора)"),H10,0))</f>
        <v>0</v>
      </c>
      <c r="J34" s="76">
        <f>IF(C34=0,0,VLOOKUP($A$20,'Цены Жалюзи'!$B$130:$R$154,7,FALSE)*B34*C34)</f>
        <v>0</v>
      </c>
      <c r="K34" s="76">
        <f>IF(E34=0,0,VLOOKUP($A$20,'Цены Жалюзи'!$B$130:$R$154,7,FALSE)*D34*E34)</f>
        <v>0</v>
      </c>
      <c r="L34" s="76">
        <f>IF(G34=0,0,VLOOKUP($A$20,'Цены Жалюзи'!$B$130:$R$154,7,FALSE)*F34*G34)</f>
        <v>0</v>
      </c>
      <c r="M34" s="76">
        <f>IF(I34=0,0,VLOOKUP($A$20,'Цены Жалюзи'!$B$130:$R$154,7,FALSE)*H34*I34)</f>
        <v>0</v>
      </c>
      <c r="O34" s="9"/>
    </row>
    <row r="35" spans="1:15" ht="16.5" customHeight="1">
      <c r="A35" s="67" t="s">
        <v>326</v>
      </c>
      <c r="B35" s="78">
        <f>IF(C35=0,0,B9)</f>
        <v>0</v>
      </c>
      <c r="C35" s="79">
        <f>IF(OR(B9=2,B9&gt;2),B10,0)</f>
        <v>0</v>
      </c>
      <c r="D35" s="78">
        <f>IF(E35=0,0,D9)</f>
        <v>0</v>
      </c>
      <c r="E35" s="79">
        <f>IF(OR(D9=2,D9&gt;2),D10,0)</f>
        <v>0</v>
      </c>
      <c r="F35" s="78">
        <f>IF(G35=0,0,F9)</f>
        <v>0</v>
      </c>
      <c r="G35" s="79">
        <f>IF(OR(F9=2,F9&gt;2),F10,0)</f>
        <v>0</v>
      </c>
      <c r="H35" s="80">
        <f>IF(I35=0,0,H9)</f>
        <v>0</v>
      </c>
      <c r="I35" s="81">
        <f>IF(OR(H9=2,H9&gt;2),H10,0)</f>
        <v>0</v>
      </c>
      <c r="J35" s="76">
        <f>IF(C35=0,0,VLOOKUP($A$20,'Цены Жалюзи'!$B$130:$R$154,8,FALSE)*B35*C35)</f>
        <v>0</v>
      </c>
      <c r="K35" s="76">
        <f>IF(E35=0,0,VLOOKUP($A$20,'Цены Жалюзи'!$B$130:$R$154,8,FALSE)*D35*E35)</f>
        <v>0</v>
      </c>
      <c r="L35" s="76">
        <f>IF(G35=0,0,VLOOKUP($A$20,'Цены Жалюзи'!$B$130:$R$154,8,FALSE)*F35*G35)</f>
        <v>0</v>
      </c>
      <c r="M35" s="76">
        <f>IF(I35=0,0,VLOOKUP($A$20,'Цены Жалюзи'!$B$130:$R$154,8,FALSE)*H35*I35)</f>
        <v>0</v>
      </c>
      <c r="O35" s="9"/>
    </row>
    <row r="36" spans="1:13" ht="16.5" customHeight="1">
      <c r="A36" s="67" t="s">
        <v>7</v>
      </c>
      <c r="B36" s="78">
        <f>IF(AND(B8&gt;0,B13="да"),0,B8)</f>
        <v>0</v>
      </c>
      <c r="C36" s="79">
        <f>IF(B36=0,0,IF(B10=0,0,IF(B10=1,2*2,IF(B12=0,(B10+1)*2-C37,(B10+1+B12)*2-C37))))</f>
        <v>0</v>
      </c>
      <c r="D36" s="78">
        <f>IF(AND(D8&gt;0,D13="да"),0,D8)</f>
        <v>0</v>
      </c>
      <c r="E36" s="79">
        <f>IF(D36=0,0,IF(D10=0,0,IF(D10=1,2*2,IF(D12=0,(D10+1)*2-E37,(D10+1+D12)*2-E37))))</f>
        <v>0</v>
      </c>
      <c r="F36" s="78">
        <f>IF(AND(F8&gt;0,F13="да"),0,F8)</f>
        <v>0</v>
      </c>
      <c r="G36" s="79">
        <f>IF(F36=0,0,IF(F10=0,0,IF(F10=1,2*2,IF(F12=0,(F10+1)*2-G37,(F10+1+F12)*2-G37))))</f>
        <v>0</v>
      </c>
      <c r="H36" s="80">
        <f>IF(AND(H8&gt;0,H13="да"),0,H8)</f>
        <v>0</v>
      </c>
      <c r="I36" s="81">
        <f>IF(H36=0,0,IF(H10=0,0,IF(H10=1,2*2,IF(H12=0,(H10+1)*2-I37,(H10+1+H12)*2-I37))))</f>
        <v>0</v>
      </c>
      <c r="J36" s="76">
        <f>IF(C36=0,0,IF(B16="столб 62х55",VLOOKUP($A$20,'Цены Жалюзи'!$B$130:$R$154,10,FALSE)*B36*C36,IF(B16="столб 60х60",VLOOKUP($A$20,'Цены Жалюзи'!$B$130:$R$154,11,FALSE)*B36*C36,IF(B16="столб 80х80",VLOOKUP($A$20,'Цены Жалюзи'!$B$130:$R$154,12,FALSE)*B36*C36,0))))</f>
        <v>0</v>
      </c>
      <c r="K36" s="76">
        <f>IF(E36=0,0,IF(D16="столб 62х55",VLOOKUP($A$20,'Цены Жалюзи'!$B$130:$R$154,10,FALSE)*D36*E36,IF(D16="столб 60х60",VLOOKUP($A$20,'Цены Жалюзи'!$B$130:$R$154,11,FALSE)*D36*E36,IF(D16="столб 80х80",VLOOKUP($A$20,'Цены Жалюзи'!$B$130:$R$154,12,FALSE)*D36*E36,0))))</f>
        <v>0</v>
      </c>
      <c r="L36" s="76">
        <f>IF(G36=0,0,IF(F16="столб 62х55",VLOOKUP($A$20,'Цены Жалюзи'!$B$130:$R$154,10,FALSE)*F36*G36,IF(F16="столб 60х60",VLOOKUP($A$20,'Цены Жалюзи'!$B$130:$R$154,11,FALSE)*F36*G36,IF(F16="столб 80х80",VLOOKUP($A$20,'Цены Жалюзи'!$B$130:$R$154,12,FALSE)*F36*G36,0))))</f>
        <v>0</v>
      </c>
      <c r="M36" s="76">
        <f>IF(I36=0,0,IF(H16="столб 62х55",VLOOKUP($A$20,'Цены Жалюзи'!$B$130:$R$154,10,FALSE)*H36*I36,IF(H16="столб 60х60",VLOOKUP($A$20,'Цены Жалюзи'!$B$130:$R$154,11,FALSE)*H36*I36,IF(H16="столб 80х80",VLOOKUP($A$20,'Цены Жалюзи'!$B$130:$R$154,12,FALSE)*H36*I36,0))))</f>
        <v>0</v>
      </c>
    </row>
    <row r="37" spans="1:13" ht="16.5" customHeight="1">
      <c r="A37" s="67" t="s">
        <v>25</v>
      </c>
      <c r="B37" s="78">
        <f>IF(OR(AND(B11=0,B12=0),B13="да"),0,B8)</f>
        <v>0</v>
      </c>
      <c r="C37" s="79">
        <f>IF(B37=0,0,B11*2*2+B12*2)</f>
        <v>0</v>
      </c>
      <c r="D37" s="78">
        <f>IF(OR(AND(D11=0,D12=0),D13="да"),0,D8)</f>
        <v>0</v>
      </c>
      <c r="E37" s="79">
        <f>IF(D37=0,0,D11*2*2+D12*2)</f>
        <v>0</v>
      </c>
      <c r="F37" s="78">
        <f>IF(OR(AND(F11=0,F12=0),F13="да"),0,F8)</f>
        <v>0</v>
      </c>
      <c r="G37" s="79">
        <f>IF(F37=0,0,F11*2*2+F12*2)</f>
        <v>0</v>
      </c>
      <c r="H37" s="80">
        <f>IF(OR(AND(H11=0,H12=0),H13="да"),0,H8)</f>
        <v>0</v>
      </c>
      <c r="I37" s="81">
        <f>IF(H37=0,0,H11*2*2+H12*2)</f>
        <v>0</v>
      </c>
      <c r="J37" s="76">
        <f>IF(C37=0,0,IF(B16="столб 62х55",VLOOKUP($A$20,'Цены Жалюзи'!$B$130:$R$154,13,FALSE)*B37*C37,IF(B16="столб 60х60",VLOOKUP($A$20,'Цены Жалюзи'!$B$130:$R$154,14,FALSE)*B37*C37,IF(B16="столб 80х80",VLOOKUP($A$20,'Цены Жалюзи'!$B$130:$R$154,15,FALSE)*B37*C37,0))))</f>
        <v>0</v>
      </c>
      <c r="K37" s="76">
        <f>IF(E37=0,0,IF(D16="столб 62х55",VLOOKUP($A$20,'Цены Жалюзи'!$B$130:$R$154,13,FALSE)*D37*E37,IF(D16="столб 60х60",VLOOKUP($A$20,'Цены Жалюзи'!$B$130:$R$154,14,FALSE)*D37*E37,IF(D16="столб 80х80",VLOOKUP($A$20,'Цены Жалюзи'!$B$130:$R$154,15,FALSE)*D37*E37,0))))</f>
        <v>0</v>
      </c>
      <c r="L37" s="76">
        <f>IF(G37=0,0,IF(F16="столб 62х55",VLOOKUP($A$20,'Цены Жалюзи'!$B$130:$R$154,13,FALSE)*F37*G37,IF(F16="столб 60х60",VLOOKUP($A$20,'Цены Жалюзи'!$B$130:$R$154,14,FALSE)*F37*G37,IF(F16="столб 80х80",VLOOKUP($A$20,'Цены Жалюзи'!$B$130:$R$154,15,FALSE)*F37*G37,0))))</f>
        <v>0</v>
      </c>
      <c r="M37" s="76">
        <f>IF(I37=0,0,IF(H16="столб 62х55",VLOOKUP($A$20,'Цены Жалюзи'!$B$130:$R$154,13,FALSE)*H37*I37,IF(H16="столб 60х60",VLOOKUP($A$20,'Цены Жалюзи'!$B$130:$R$154,14,FALSE)*H37*I37,IF(H16="столб 80х80",VLOOKUP($A$20,'Цены Жалюзи'!$B$130:$R$154,15,FALSE)*H37*I37,0))))</f>
        <v>0</v>
      </c>
    </row>
    <row r="38" spans="1:13" ht="16.5" customHeight="1">
      <c r="A38" s="67" t="s">
        <v>225</v>
      </c>
      <c r="B38" s="78">
        <f>IF(C38=0,0,B8)</f>
        <v>0</v>
      </c>
      <c r="C38" s="79">
        <f>IF(OR(B9=2.5,B9&gt;2.5),B10*2,IF(B9&lt;2,0,B10*1))</f>
        <v>0</v>
      </c>
      <c r="D38" s="78">
        <f>IF(E38=0,0,D8)</f>
        <v>0</v>
      </c>
      <c r="E38" s="79">
        <f>IF(OR(D9=2.5,D9&gt;2.5),D10*2,IF(D9&lt;2,0,D10*1))</f>
        <v>0</v>
      </c>
      <c r="F38" s="78">
        <f>IF(G38=0,0,F8)</f>
        <v>0</v>
      </c>
      <c r="G38" s="79">
        <f>IF(OR(F9=2.5,F9&gt;2.5),F10*2,IF(F9&lt;2,0,F10*1))</f>
        <v>0</v>
      </c>
      <c r="H38" s="80">
        <f>IF(I38=0,0,H8)</f>
        <v>0</v>
      </c>
      <c r="I38" s="81">
        <f>IF(OR(H9=2.5,H9&gt;2.5),H10*2,IF(H9&lt;2,0,H10*1))</f>
        <v>0</v>
      </c>
      <c r="J38" s="76">
        <f>IF(C38=0,0,VLOOKUP($A$20,'Цены Жалюзи'!$B$130:$R$154,16,FALSE)*B38*C38)</f>
        <v>0</v>
      </c>
      <c r="K38" s="76">
        <f>IF(E38=0,0,VLOOKUP($A$20,'Цены Жалюзи'!$B$130:$R$154,16,FALSE)*D38*E38)</f>
        <v>0</v>
      </c>
      <c r="L38" s="76">
        <f>IF(G38=0,0,VLOOKUP($A$20,'Цены Жалюзи'!$B$130:$R$154,16,FALSE)*F38*G38)</f>
        <v>0</v>
      </c>
      <c r="M38" s="76">
        <f>IF(I38=0,0,VLOOKUP($A$20,'Цены Жалюзи'!$B$130:$R$154,16,FALSE)*H38*I38)</f>
        <v>0</v>
      </c>
    </row>
    <row r="39" spans="1:13" ht="16.5" customHeight="1">
      <c r="A39" s="67" t="s">
        <v>226</v>
      </c>
      <c r="B39" s="78">
        <f>IF(C39=0,0,B8)</f>
        <v>0</v>
      </c>
      <c r="C39" s="79">
        <f>C38</f>
        <v>0</v>
      </c>
      <c r="D39" s="78">
        <f>IF(E39=0,0,D8)</f>
        <v>0</v>
      </c>
      <c r="E39" s="79">
        <f>E38</f>
        <v>0</v>
      </c>
      <c r="F39" s="78">
        <f>IF(G39=0,0,F8)</f>
        <v>0</v>
      </c>
      <c r="G39" s="79">
        <f>G38</f>
        <v>0</v>
      </c>
      <c r="H39" s="80">
        <f>IF(I39=0,0,H8)</f>
        <v>0</v>
      </c>
      <c r="I39" s="81">
        <f>I38</f>
        <v>0</v>
      </c>
      <c r="J39" s="76">
        <f>IF(C39=0,0,VLOOKUP($A$20,'Цены Жалюзи'!$B$130:$R$154,17,FALSE)*B39*C39)</f>
        <v>0</v>
      </c>
      <c r="K39" s="76">
        <f>IF(E39=0,0,VLOOKUP($A$20,'Цены Жалюзи'!$B$130:$R$154,17,FALSE)*D39*E39)</f>
        <v>0</v>
      </c>
      <c r="L39" s="76">
        <f>IF(G39=0,0,VLOOKUP($A$20,'Цены Жалюзи'!$B$130:$R$154,17,FALSE)*F39*G39)</f>
        <v>0</v>
      </c>
      <c r="M39" s="76">
        <f>IF(I39=0,0,VLOOKUP($A$20,'Цены Жалюзи'!$B$130:$R$154,17,FALSE)*H39*I39)</f>
        <v>0</v>
      </c>
    </row>
    <row r="40" spans="1:13" ht="16.5" customHeight="1">
      <c r="A40" s="67" t="s">
        <v>126</v>
      </c>
      <c r="B40" s="78">
        <f>IF(C40=0,0,B8)</f>
        <v>0</v>
      </c>
      <c r="C40" s="79">
        <f>2*B10</f>
        <v>0</v>
      </c>
      <c r="D40" s="78">
        <f>IF(E40=0,0,D8)</f>
        <v>0</v>
      </c>
      <c r="E40" s="79">
        <f>2*D10</f>
        <v>0</v>
      </c>
      <c r="F40" s="78">
        <f>IF(G40=0,0,F8)</f>
        <v>0</v>
      </c>
      <c r="G40" s="79">
        <f>2*F10</f>
        <v>0</v>
      </c>
      <c r="H40" s="80">
        <f>IF(I40=0,0,H8)</f>
        <v>0</v>
      </c>
      <c r="I40" s="81">
        <f>2*H10</f>
        <v>0</v>
      </c>
      <c r="J40" s="76">
        <f>IF(C40=0,0,VLOOKUP($A$20,'Цены Жалюзи'!$B$130:$R$154,9,FALSE)*B40*C40)</f>
        <v>0</v>
      </c>
      <c r="K40" s="76">
        <f>IF(E40=0,0,VLOOKUP($A$20,'Цены Жалюзи'!$B$130:$R$154,9,FALSE)*D40*E40)</f>
        <v>0</v>
      </c>
      <c r="L40" s="76">
        <f>IF(G40=0,0,VLOOKUP($A$20,'Цены Жалюзи'!$B$130:$R$154,9,FALSE)*F40*G40)</f>
        <v>0</v>
      </c>
      <c r="M40" s="76">
        <f>IF(I40=0,0,VLOOKUP($A$20,'Цены Жалюзи'!$B$130:$R$154,9,FALSE)*H40*I40)</f>
        <v>0</v>
      </c>
    </row>
    <row r="41" spans="1:13" ht="16.5" customHeight="1">
      <c r="A41" s="52" t="s">
        <v>153</v>
      </c>
      <c r="B41" s="82" t="s">
        <v>28</v>
      </c>
      <c r="C41" s="79">
        <f>IF(B13="да",0,(IF(B10=0,0,IF(B10=1,2,IF(B12=0,B10+1,B10+1+B12)))))</f>
        <v>0</v>
      </c>
      <c r="D41" s="82" t="s">
        <v>28</v>
      </c>
      <c r="E41" s="79">
        <f>IF(D13="да",0,(IF(D10=0,0,IF(D10=1,2,IF(D12=0,D10+1,D10+1+D12)))))</f>
        <v>0</v>
      </c>
      <c r="F41" s="82" t="s">
        <v>28</v>
      </c>
      <c r="G41" s="79">
        <f>IF(F13="да",0,(IF(F10=0,0,IF(F10=1,2,IF(F12=0,F10+1,F10+1+F12)))))</f>
        <v>0</v>
      </c>
      <c r="H41" s="83" t="s">
        <v>28</v>
      </c>
      <c r="I41" s="81">
        <f>IF(H13="да",0,(IF(H10=0,0,IF(H10=1,2,IF(H12=0,H10+1,H10+1+H12)))))</f>
        <v>0</v>
      </c>
      <c r="J41" s="76"/>
      <c r="K41" s="76"/>
      <c r="L41" s="76"/>
      <c r="M41" s="76"/>
    </row>
    <row r="42" spans="1:13" ht="16.5" customHeight="1">
      <c r="A42" s="53" t="s">
        <v>129</v>
      </c>
      <c r="B42" s="82" t="str">
        <f>IF(C42=0,"-","4,2x16")</f>
        <v>-</v>
      </c>
      <c r="C42" s="79">
        <f>IF(B13="да",0,(C40*5))</f>
        <v>0</v>
      </c>
      <c r="D42" s="82" t="str">
        <f>IF(E42=0,"-","4,2x16")</f>
        <v>-</v>
      </c>
      <c r="E42" s="79">
        <f>IF(D13="да",0,(E40*5))</f>
        <v>0</v>
      </c>
      <c r="F42" s="82" t="str">
        <f>IF(G42=0,"-","4,2x16")</f>
        <v>-</v>
      </c>
      <c r="G42" s="79">
        <f>IF(F13="да",0,(G40*5))</f>
        <v>0</v>
      </c>
      <c r="H42" s="83" t="str">
        <f>IF(I42=0,"-","4,2x16")</f>
        <v>-</v>
      </c>
      <c r="I42" s="81">
        <f>IF(H13="да",0,(I40*5))</f>
        <v>0</v>
      </c>
      <c r="J42" s="76">
        <f>IF(C42=0,0,IF(OR($A$20="Цинк 0,5",$A$20="Цинк 0,55"),C42*'Цены Жалюзи'!$C$224,C42*'Цены Жалюзи'!$C$225))</f>
        <v>0</v>
      </c>
      <c r="K42" s="76">
        <f>IF(E42=0,0,IF(OR($A$20="Цинк 0,5",$A$20="Цинк 0,55"),E42*'Цены Жалюзи'!$C$224,E42*'Цены Жалюзи'!$C$225))</f>
        <v>0</v>
      </c>
      <c r="L42" s="76">
        <f>IF(G42=0,0,IF(OR($A$20="Цинк 0,5",$A$20="Цинк 0,55"),G42*'Цены Жалюзи'!$C$224,G42*'Цены Жалюзи'!$C$225))</f>
        <v>0</v>
      </c>
      <c r="M42" s="76">
        <f>IF(I42=0,0,IF(OR($A$20="Цинк 0,5",$A$20="Цинк 0,55"),I42*'Цены Жалюзи'!$C$224,I42*'Цены Жалюзи'!$C$225))</f>
        <v>0</v>
      </c>
    </row>
    <row r="43" spans="1:13" ht="16.5" customHeight="1">
      <c r="A43" s="67" t="s">
        <v>36</v>
      </c>
      <c r="B43" s="82" t="str">
        <f>IF(C43=0,"-","4,2x16")</f>
        <v>-</v>
      </c>
      <c r="C43" s="79">
        <f>C28*8+C30*8+C33*4+C34*4+IF(B10&gt;0,C28/B10*C38+C30/B10*C38,0)</f>
        <v>0</v>
      </c>
      <c r="D43" s="82" t="str">
        <f>IF(E43=0,"-","4,2x16")</f>
        <v>-</v>
      </c>
      <c r="E43" s="79">
        <f>E28*8+E30*8+E33*4+E34*4+IF(D10&gt;0,E28/D10*E38+E30/D10*E38,0)</f>
        <v>0</v>
      </c>
      <c r="F43" s="82" t="str">
        <f>IF(G43=0,"-","4,2x16")</f>
        <v>-</v>
      </c>
      <c r="G43" s="79">
        <f>G28*8+G30*8+G33*4+G34*4+IF(F10&gt;0,G28/F10*G38+G30/F10*G38,0)</f>
        <v>0</v>
      </c>
      <c r="H43" s="83" t="str">
        <f>IF(I43=0,"-","4,2x16")</f>
        <v>-</v>
      </c>
      <c r="I43" s="81">
        <f>I28*8+I30*8+I33*4+I34*4+IF(H10&gt;0,I28/H10*I38+I30/H10*I38,0)</f>
        <v>0</v>
      </c>
      <c r="J43" s="76">
        <f>IF(C43=0,0,IF(OR($A$18="Цинк 0,5",$A$18="Цинк 0,55"),C43*'Цены Жалюзи'!$C$71,C43*'Цены Жалюзи'!$C$72))</f>
        <v>0</v>
      </c>
      <c r="K43" s="76">
        <f>IF(E43=0,0,IF(OR($A$18="Цинк 0,5",$A$18="Цинк 0,55"),E43*'Цены Жалюзи'!$C$71,E43*'Цены Жалюзи'!$C$72))</f>
        <v>0</v>
      </c>
      <c r="L43" s="76">
        <f>IF(G43=0,0,IF(OR($A$18="Цинк 0,5",$A$18="Цинк 0,55"),G43*'Цены Жалюзи'!$C$71,G43*'Цены Жалюзи'!$C$72))</f>
        <v>0</v>
      </c>
      <c r="M43" s="76">
        <f>IF(I43=0,0,IF(OR($A$18="Цинк 0,5",$A$18="Цинк 0,55"),I43*'Цены Жалюзи'!$C$71,I43*'Цены Жалюзи'!$C$72))</f>
        <v>0</v>
      </c>
    </row>
    <row r="44" spans="1:13" ht="16.5" customHeight="1">
      <c r="A44" s="67" t="s">
        <v>306</v>
      </c>
      <c r="B44" s="82" t="str">
        <f>IF(C44=0,"-","7,5x52")</f>
        <v>-</v>
      </c>
      <c r="C44" s="79">
        <f>IF(B$10=0,0,IF(B$13="да",C40*5,0))</f>
        <v>0</v>
      </c>
      <c r="D44" s="82" t="str">
        <f>IF(E44=0,"-","7,5x52")</f>
        <v>-</v>
      </c>
      <c r="E44" s="79">
        <f>IF(D$10=0,0,IF(D$13="да",E40*5,0))</f>
        <v>0</v>
      </c>
      <c r="F44" s="82" t="str">
        <f>IF(G44=0,"-","7,5x52")</f>
        <v>-</v>
      </c>
      <c r="G44" s="79">
        <f>IF(F$10=0,0,IF(F$13="да",G40*5,0))</f>
        <v>0</v>
      </c>
      <c r="H44" s="82" t="str">
        <f>IF(I44=0,"-","7,5x52")</f>
        <v>-</v>
      </c>
      <c r="I44" s="81">
        <f>IF(H$10=0,0,IF(H$13="да",I40*5,0))</f>
        <v>0</v>
      </c>
      <c r="J44" s="76">
        <f>IF(C44=0,0,C44*'Цены Жалюзи'!$C$229)</f>
        <v>0</v>
      </c>
      <c r="K44" s="76">
        <f>IF(E44=0,0,E44*'Цены Жалюзи'!$C$229)</f>
        <v>0</v>
      </c>
      <c r="L44" s="76">
        <f>IF(G44=0,0,G44*'Цены Жалюзи'!$C$229)</f>
        <v>0</v>
      </c>
      <c r="M44" s="76">
        <f>IF(I44=0,0,I44*'Цены Жалюзи'!$C$229)</f>
        <v>0</v>
      </c>
    </row>
    <row r="45" spans="1:13" ht="16.5" customHeight="1">
      <c r="A45" s="67" t="s">
        <v>112</v>
      </c>
      <c r="B45" s="82"/>
      <c r="C45" s="79">
        <f>C44</f>
        <v>0</v>
      </c>
      <c r="D45" s="82"/>
      <c r="E45" s="79">
        <f>E44</f>
        <v>0</v>
      </c>
      <c r="F45" s="82"/>
      <c r="G45" s="79">
        <f>G44</f>
        <v>0</v>
      </c>
      <c r="H45" s="82"/>
      <c r="I45" s="81">
        <f>I44</f>
        <v>0</v>
      </c>
      <c r="J45" s="76">
        <f>IF(C45=0,0,C45*'Цены Жалюзи'!$C$230)</f>
        <v>0</v>
      </c>
      <c r="K45" s="76">
        <f>IF(E45=0,0,E45*'Цены Жалюзи'!$C$230)</f>
        <v>0</v>
      </c>
      <c r="L45" s="76">
        <f>IF(G45=0,0,G45*'Цены Жалюзи'!$C$230)</f>
        <v>0</v>
      </c>
      <c r="M45" s="76">
        <f>IF(I45=0,0,I45*'Цены Жалюзи'!$C$230)</f>
        <v>0</v>
      </c>
    </row>
    <row r="46" spans="1:13" ht="16.5" customHeight="1">
      <c r="A46" s="101" t="s">
        <v>39</v>
      </c>
      <c r="B46" s="106"/>
      <c r="C46" s="107"/>
      <c r="D46" s="108"/>
      <c r="E46" s="109"/>
      <c r="F46" s="110"/>
      <c r="G46" s="107"/>
      <c r="H46" s="110"/>
      <c r="I46" s="106"/>
      <c r="J46" s="75"/>
      <c r="K46" s="75"/>
      <c r="L46" s="75"/>
      <c r="M46" s="75"/>
    </row>
    <row r="47" spans="1:13" ht="16.5" customHeight="1">
      <c r="A47" s="67" t="s">
        <v>146</v>
      </c>
      <c r="B47" s="84"/>
      <c r="C47" s="79">
        <f>IF(B$14=$A47,1,0)</f>
        <v>0</v>
      </c>
      <c r="D47" s="85"/>
      <c r="E47" s="79">
        <f>IF(D$14=$A47,1,0)</f>
        <v>0</v>
      </c>
      <c r="F47" s="85"/>
      <c r="G47" s="79">
        <f>IF(F$14=$A47,1,0)</f>
        <v>0</v>
      </c>
      <c r="H47" s="85"/>
      <c r="I47" s="81">
        <f>IF(H$14=$A47,1,0)</f>
        <v>0</v>
      </c>
      <c r="J47" s="76">
        <f>IF(C47=0,0,'Цены Жалюзи'!$S$224)</f>
        <v>0</v>
      </c>
      <c r="K47" s="76">
        <f>IF(E47=0,0,'Цены Жалюзи'!$S$224)</f>
        <v>0</v>
      </c>
      <c r="L47" s="76">
        <f>IF(G47=0,0,'Цены Жалюзи'!$S$224)</f>
        <v>0</v>
      </c>
      <c r="M47" s="76">
        <f>IF(I47=0,0,'Цены Жалюзи'!$S$224)</f>
        <v>0</v>
      </c>
    </row>
    <row r="48" spans="1:13" ht="16.5" customHeight="1">
      <c r="A48" s="67" t="s">
        <v>147</v>
      </c>
      <c r="B48" s="84"/>
      <c r="C48" s="79">
        <f>IF(B$14=$A48,1,0)</f>
        <v>0</v>
      </c>
      <c r="D48" s="85"/>
      <c r="E48" s="79">
        <f>IF(D$14=$A48,1,0)</f>
        <v>0</v>
      </c>
      <c r="F48" s="85"/>
      <c r="G48" s="79">
        <f>IF(F$14=$A48,1,0)</f>
        <v>0</v>
      </c>
      <c r="H48" s="85"/>
      <c r="I48" s="81">
        <f>IF(H$14=$A48,1,0)</f>
        <v>0</v>
      </c>
      <c r="J48" s="76">
        <f>IF(C48=0,0,'Цены Жалюзи'!$S$225)</f>
        <v>0</v>
      </c>
      <c r="K48" s="76">
        <f>IF(E48=0,0,'Цены Жалюзи'!$S$225)</f>
        <v>0</v>
      </c>
      <c r="L48" s="76">
        <f>IF(G48=0,0,'Цены Жалюзи'!$S$225)</f>
        <v>0</v>
      </c>
      <c r="M48" s="76">
        <f>IF(I48=0,0,'Цены Жалюзи'!$S$225)</f>
        <v>0</v>
      </c>
    </row>
    <row r="49" spans="1:13" ht="16.5" customHeight="1">
      <c r="A49" s="67" t="s">
        <v>42</v>
      </c>
      <c r="B49" s="84"/>
      <c r="C49" s="79">
        <f>IF(B$14=$A49,1,0)</f>
        <v>0</v>
      </c>
      <c r="D49" s="85"/>
      <c r="E49" s="79">
        <f>IF(D$14=$A49,1,0)</f>
        <v>0</v>
      </c>
      <c r="F49" s="85"/>
      <c r="G49" s="79">
        <f>IF(F$14=$A49,1,0)</f>
        <v>0</v>
      </c>
      <c r="H49" s="85"/>
      <c r="I49" s="81">
        <f>IF(H$14=$A49,1,0)</f>
        <v>0</v>
      </c>
      <c r="J49" s="76">
        <f>IF(C49=0,0,'Цены Жалюзи'!$S$226)</f>
        <v>0</v>
      </c>
      <c r="K49" s="76">
        <f>IF(E49=0,0,'Цены Жалюзи'!$S$226)</f>
        <v>0</v>
      </c>
      <c r="L49" s="76">
        <f>IF(G49=0,0,'Цены Жалюзи'!$S$226)</f>
        <v>0</v>
      </c>
      <c r="M49" s="76">
        <f>IF(I49=0,0,'Цены Жалюзи'!$S$226)</f>
        <v>0</v>
      </c>
    </row>
    <row r="50" spans="1:13" ht="16.5" customHeight="1">
      <c r="A50" s="101" t="s">
        <v>43</v>
      </c>
      <c r="B50" s="106"/>
      <c r="C50" s="107"/>
      <c r="D50" s="108"/>
      <c r="E50" s="107"/>
      <c r="F50" s="110"/>
      <c r="G50" s="107"/>
      <c r="H50" s="110"/>
      <c r="I50" s="106"/>
      <c r="J50" s="75"/>
      <c r="K50" s="75"/>
      <c r="L50" s="75"/>
      <c r="M50" s="75"/>
    </row>
    <row r="51" spans="1:13" ht="16.5" customHeight="1">
      <c r="A51" s="67" t="s">
        <v>196</v>
      </c>
      <c r="B51" s="84"/>
      <c r="C51" s="79">
        <f aca="true" t="shared" si="2" ref="C51:E71">IF(B$15=$A51,1,0)</f>
        <v>0</v>
      </c>
      <c r="D51" s="85"/>
      <c r="E51" s="79">
        <f t="shared" si="2"/>
        <v>0</v>
      </c>
      <c r="F51" s="85"/>
      <c r="G51" s="79">
        <f aca="true" t="shared" si="3" ref="G51:G71">IF(F$15=$A51,1,0)</f>
        <v>0</v>
      </c>
      <c r="H51" s="85"/>
      <c r="I51" s="81">
        <f aca="true" t="shared" si="4" ref="I51:I71">IF(H$15=$A51,1,0)</f>
        <v>0</v>
      </c>
      <c r="J51" s="76">
        <f>IF(C51=0,0,'Цены Жалюзи'!$S$227)</f>
        <v>0</v>
      </c>
      <c r="K51" s="76">
        <f>IF(E51=0,0,'Цены Жалюзи'!$S$227)</f>
        <v>0</v>
      </c>
      <c r="L51" s="76">
        <f>IF(G51=0,0,'Цены Жалюзи'!$S$227)</f>
        <v>0</v>
      </c>
      <c r="M51" s="76">
        <f>IF(I51=0,0,'Цены Жалюзи'!$S$227)</f>
        <v>0</v>
      </c>
    </row>
    <row r="52" spans="1:13" ht="16.5" customHeight="1">
      <c r="A52" s="67" t="s">
        <v>197</v>
      </c>
      <c r="B52" s="84"/>
      <c r="C52" s="79">
        <f t="shared" si="2"/>
        <v>0</v>
      </c>
      <c r="D52" s="85"/>
      <c r="E52" s="79">
        <f t="shared" si="2"/>
        <v>0</v>
      </c>
      <c r="F52" s="85"/>
      <c r="G52" s="79">
        <f t="shared" si="3"/>
        <v>0</v>
      </c>
      <c r="H52" s="85"/>
      <c r="I52" s="81">
        <f t="shared" si="4"/>
        <v>0</v>
      </c>
      <c r="J52" s="76">
        <f>IF(C52=0,0,'Цены Жалюзи'!$S$228)</f>
        <v>0</v>
      </c>
      <c r="K52" s="76">
        <f>IF(E52=0,0,'Цены Жалюзи'!$S$228)</f>
        <v>0</v>
      </c>
      <c r="L52" s="76">
        <f>IF(G52=0,0,'Цены Жалюзи'!$S$228)</f>
        <v>0</v>
      </c>
      <c r="M52" s="76">
        <f>IF(I52=0,0,'Цены Жалюзи'!$S$228)</f>
        <v>0</v>
      </c>
    </row>
    <row r="53" spans="1:13" ht="16.5" customHeight="1">
      <c r="A53" s="67" t="s">
        <v>46</v>
      </c>
      <c r="B53" s="84"/>
      <c r="C53" s="79">
        <f t="shared" si="2"/>
        <v>0</v>
      </c>
      <c r="D53" s="85"/>
      <c r="E53" s="79">
        <f t="shared" si="2"/>
        <v>0</v>
      </c>
      <c r="F53" s="85"/>
      <c r="G53" s="79">
        <f t="shared" si="3"/>
        <v>0</v>
      </c>
      <c r="H53" s="85"/>
      <c r="I53" s="81">
        <f t="shared" si="4"/>
        <v>0</v>
      </c>
      <c r="J53" s="76">
        <f>IF(C53=0,0,'Цены Жалюзи'!$S$229)</f>
        <v>0</v>
      </c>
      <c r="K53" s="76">
        <f>IF(E53=0,0,'Цены Жалюзи'!$S$229)</f>
        <v>0</v>
      </c>
      <c r="L53" s="76">
        <f>IF(G53=0,0,'Цены Жалюзи'!$S$229)</f>
        <v>0</v>
      </c>
      <c r="M53" s="76">
        <f>IF(I53=0,0,'Цены Жалюзи'!$S$229)</f>
        <v>0</v>
      </c>
    </row>
    <row r="54" spans="1:15" ht="16.5" customHeight="1">
      <c r="A54" s="67" t="s">
        <v>198</v>
      </c>
      <c r="B54" s="84"/>
      <c r="C54" s="79">
        <f t="shared" si="2"/>
        <v>0</v>
      </c>
      <c r="D54" s="85"/>
      <c r="E54" s="79">
        <f t="shared" si="2"/>
        <v>0</v>
      </c>
      <c r="F54" s="85"/>
      <c r="G54" s="79">
        <f t="shared" si="3"/>
        <v>0</v>
      </c>
      <c r="H54" s="85"/>
      <c r="I54" s="81">
        <f t="shared" si="4"/>
        <v>0</v>
      </c>
      <c r="J54" s="76">
        <f>IF(C54=0,0,'Цены Жалюзи'!$S$230)</f>
        <v>0</v>
      </c>
      <c r="K54" s="76">
        <f>IF(E54=0,0,'Цены Жалюзи'!$S$230)</f>
        <v>0</v>
      </c>
      <c r="L54" s="76">
        <f>IF(G54=0,0,'Цены Жалюзи'!$S$230)</f>
        <v>0</v>
      </c>
      <c r="M54" s="76">
        <f>IF(I54=0,0,'Цены Жалюзи'!$S$230)</f>
        <v>0</v>
      </c>
      <c r="O54" s="9"/>
    </row>
    <row r="55" spans="1:15" ht="16.5" customHeight="1">
      <c r="A55" s="67" t="s">
        <v>199</v>
      </c>
      <c r="B55" s="84"/>
      <c r="C55" s="79">
        <f t="shared" si="2"/>
        <v>0</v>
      </c>
      <c r="D55" s="85"/>
      <c r="E55" s="79">
        <f t="shared" si="2"/>
        <v>0</v>
      </c>
      <c r="F55" s="85"/>
      <c r="G55" s="79">
        <f t="shared" si="3"/>
        <v>0</v>
      </c>
      <c r="H55" s="85"/>
      <c r="I55" s="81">
        <f t="shared" si="4"/>
        <v>0</v>
      </c>
      <c r="J55" s="76">
        <f>IF(C55=0,0,'Цены Жалюзи'!$S$231)</f>
        <v>0</v>
      </c>
      <c r="K55" s="76">
        <f>IF(E55=0,0,'Цены Жалюзи'!$S$231)</f>
        <v>0</v>
      </c>
      <c r="L55" s="76">
        <f>IF(G55=0,0,'Цены Жалюзи'!$S$231)</f>
        <v>0</v>
      </c>
      <c r="M55" s="76">
        <f>IF(I55=0,0,'Цены Жалюзи'!$S$231)</f>
        <v>0</v>
      </c>
      <c r="O55" s="9"/>
    </row>
    <row r="56" spans="1:15" ht="15.75" customHeight="1">
      <c r="A56" s="67" t="s">
        <v>200</v>
      </c>
      <c r="B56" s="84"/>
      <c r="C56" s="79">
        <f t="shared" si="2"/>
        <v>0</v>
      </c>
      <c r="D56" s="85"/>
      <c r="E56" s="79">
        <f t="shared" si="2"/>
        <v>0</v>
      </c>
      <c r="F56" s="85"/>
      <c r="G56" s="79">
        <f t="shared" si="3"/>
        <v>0</v>
      </c>
      <c r="H56" s="85"/>
      <c r="I56" s="81">
        <f t="shared" si="4"/>
        <v>0</v>
      </c>
      <c r="J56" s="76">
        <f>IF(C56=0,0,'Цены Жалюзи'!$S$232)</f>
        <v>0</v>
      </c>
      <c r="K56" s="76">
        <f>IF(E56=0,0,'Цены Жалюзи'!$S$232)</f>
        <v>0</v>
      </c>
      <c r="L56" s="76">
        <f>IF(G56=0,0,'Цены Жалюзи'!$S$232)</f>
        <v>0</v>
      </c>
      <c r="M56" s="76">
        <f>IF(I56=0,0,'Цены Жалюзи'!$S$232)</f>
        <v>0</v>
      </c>
      <c r="O56" s="10"/>
    </row>
    <row r="57" spans="1:15" ht="15.75" customHeight="1">
      <c r="A57" s="67" t="s">
        <v>201</v>
      </c>
      <c r="B57" s="84"/>
      <c r="C57" s="79">
        <f t="shared" si="2"/>
        <v>0</v>
      </c>
      <c r="D57" s="85"/>
      <c r="E57" s="79">
        <f t="shared" si="2"/>
        <v>0</v>
      </c>
      <c r="F57" s="85"/>
      <c r="G57" s="79">
        <f t="shared" si="3"/>
        <v>0</v>
      </c>
      <c r="H57" s="85"/>
      <c r="I57" s="81">
        <f t="shared" si="4"/>
        <v>0</v>
      </c>
      <c r="J57" s="76">
        <f>IF(C57=0,0,'Цены Жалюзи'!$S$233)</f>
        <v>0</v>
      </c>
      <c r="K57" s="76">
        <f>IF(E57=0,0,'Цены Жалюзи'!$S$233)</f>
        <v>0</v>
      </c>
      <c r="L57" s="76">
        <f>IF(G57=0,0,'Цены Жалюзи'!$S$233)</f>
        <v>0</v>
      </c>
      <c r="M57" s="76">
        <f>IF(I57=0,0,'Цены Жалюзи'!$S$233)</f>
        <v>0</v>
      </c>
      <c r="O57" s="11"/>
    </row>
    <row r="58" spans="1:15" ht="15.75" customHeight="1">
      <c r="A58" s="67" t="s">
        <v>202</v>
      </c>
      <c r="B58" s="84"/>
      <c r="C58" s="79">
        <f t="shared" si="2"/>
        <v>0</v>
      </c>
      <c r="D58" s="85"/>
      <c r="E58" s="79">
        <f t="shared" si="2"/>
        <v>0</v>
      </c>
      <c r="F58" s="85"/>
      <c r="G58" s="79">
        <f t="shared" si="3"/>
        <v>0</v>
      </c>
      <c r="H58" s="85"/>
      <c r="I58" s="81">
        <f t="shared" si="4"/>
        <v>0</v>
      </c>
      <c r="J58" s="76">
        <f>IF(C58=0,0,'Цены Жалюзи'!$S$234)</f>
        <v>0</v>
      </c>
      <c r="K58" s="76">
        <f>IF(E58=0,0,'Цены Жалюзи'!$S$234)</f>
        <v>0</v>
      </c>
      <c r="L58" s="76">
        <f>IF(G58=0,0,'Цены Жалюзи'!$S$234)</f>
        <v>0</v>
      </c>
      <c r="M58" s="76">
        <f>IF(I58=0,0,'Цены Жалюзи'!$S$234)</f>
        <v>0</v>
      </c>
      <c r="O58" s="13"/>
    </row>
    <row r="59" spans="1:15" ht="15.75" customHeight="1">
      <c r="A59" s="67" t="s">
        <v>203</v>
      </c>
      <c r="B59" s="84"/>
      <c r="C59" s="79">
        <f t="shared" si="2"/>
        <v>0</v>
      </c>
      <c r="D59" s="85"/>
      <c r="E59" s="79">
        <f t="shared" si="2"/>
        <v>0</v>
      </c>
      <c r="F59" s="85"/>
      <c r="G59" s="79">
        <f t="shared" si="3"/>
        <v>0</v>
      </c>
      <c r="H59" s="85"/>
      <c r="I59" s="81">
        <f t="shared" si="4"/>
        <v>0</v>
      </c>
      <c r="J59" s="76">
        <f>IF(C59=0,0,'Цены Жалюзи'!$S$235)</f>
        <v>0</v>
      </c>
      <c r="K59" s="76">
        <f>IF(E59=0,0,'Цены Жалюзи'!$S$235)</f>
        <v>0</v>
      </c>
      <c r="L59" s="76">
        <f>IF(G59=0,0,'Цены Жалюзи'!$S$235)</f>
        <v>0</v>
      </c>
      <c r="M59" s="76">
        <f>IF(I59=0,0,'Цены Жалюзи'!$S$235)</f>
        <v>0</v>
      </c>
      <c r="O59" s="13"/>
    </row>
    <row r="60" spans="1:15" ht="15.75" customHeight="1">
      <c r="A60" s="67" t="s">
        <v>53</v>
      </c>
      <c r="B60" s="84"/>
      <c r="C60" s="79">
        <f t="shared" si="2"/>
        <v>0</v>
      </c>
      <c r="D60" s="86"/>
      <c r="E60" s="79">
        <f t="shared" si="2"/>
        <v>0</v>
      </c>
      <c r="F60" s="85"/>
      <c r="G60" s="79">
        <f t="shared" si="3"/>
        <v>0</v>
      </c>
      <c r="H60" s="85"/>
      <c r="I60" s="81">
        <f t="shared" si="4"/>
        <v>0</v>
      </c>
      <c r="J60" s="76">
        <f>IF(C60=0,0,'Цены Жалюзи'!$S$236)</f>
        <v>0</v>
      </c>
      <c r="K60" s="76">
        <f>IF(E60=0,0,'Цены Жалюзи'!$S$236)</f>
        <v>0</v>
      </c>
      <c r="L60" s="76">
        <f>IF(G60=0,0,'Цены Жалюзи'!$S$236)</f>
        <v>0</v>
      </c>
      <c r="M60" s="76">
        <f>IF(I60=0,0,'Цены Жалюзи'!$S$236)</f>
        <v>0</v>
      </c>
      <c r="O60" s="13"/>
    </row>
    <row r="61" spans="1:15" ht="15.75" customHeight="1">
      <c r="A61" s="67" t="s">
        <v>55</v>
      </c>
      <c r="B61" s="87"/>
      <c r="C61" s="79">
        <f t="shared" si="2"/>
        <v>0</v>
      </c>
      <c r="D61" s="86"/>
      <c r="E61" s="79">
        <f t="shared" si="2"/>
        <v>0</v>
      </c>
      <c r="F61" s="86"/>
      <c r="G61" s="79">
        <f t="shared" si="3"/>
        <v>0</v>
      </c>
      <c r="H61" s="86"/>
      <c r="I61" s="81">
        <f t="shared" si="4"/>
        <v>0</v>
      </c>
      <c r="J61" s="76">
        <f>IF(C61=0,0,'Цены Жалюзи'!$S$237)</f>
        <v>0</v>
      </c>
      <c r="K61" s="76">
        <f>IF(E61=0,0,'Цены Жалюзи'!$S$237)</f>
        <v>0</v>
      </c>
      <c r="L61" s="76">
        <f>IF(G61=0,0,'Цены Жалюзи'!$S$237)</f>
        <v>0</v>
      </c>
      <c r="M61" s="76">
        <f>IF(I61=0,0,'Цены Жалюзи'!$S$237)</f>
        <v>0</v>
      </c>
      <c r="O61" s="13"/>
    </row>
    <row r="62" spans="1:15" ht="15.75" customHeight="1">
      <c r="A62" s="67" t="s">
        <v>58</v>
      </c>
      <c r="B62" s="87"/>
      <c r="C62" s="79">
        <f t="shared" si="2"/>
        <v>0</v>
      </c>
      <c r="D62" s="86"/>
      <c r="E62" s="79">
        <f t="shared" si="2"/>
        <v>0</v>
      </c>
      <c r="F62" s="86"/>
      <c r="G62" s="79">
        <f t="shared" si="3"/>
        <v>0</v>
      </c>
      <c r="H62" s="86"/>
      <c r="I62" s="81">
        <f t="shared" si="4"/>
        <v>0</v>
      </c>
      <c r="J62" s="76">
        <f>IF(C62=0,0,'Цены Жалюзи'!$S$238)</f>
        <v>0</v>
      </c>
      <c r="K62" s="76">
        <f>IF(E62=0,0,'Цены Жалюзи'!$S$238)</f>
        <v>0</v>
      </c>
      <c r="L62" s="76">
        <f>IF(G62=0,0,'Цены Жалюзи'!$S$238)</f>
        <v>0</v>
      </c>
      <c r="M62" s="76">
        <f>IF(I62=0,0,'Цены Жалюзи'!$S$238)</f>
        <v>0</v>
      </c>
      <c r="O62" s="13"/>
    </row>
    <row r="63" spans="1:15" ht="15.75" customHeight="1">
      <c r="A63" s="67" t="s">
        <v>204</v>
      </c>
      <c r="B63" s="87"/>
      <c r="C63" s="79">
        <f t="shared" si="2"/>
        <v>0</v>
      </c>
      <c r="D63" s="86"/>
      <c r="E63" s="79">
        <f t="shared" si="2"/>
        <v>0</v>
      </c>
      <c r="F63" s="86"/>
      <c r="G63" s="79">
        <f t="shared" si="3"/>
        <v>0</v>
      </c>
      <c r="H63" s="86"/>
      <c r="I63" s="81">
        <f t="shared" si="4"/>
        <v>0</v>
      </c>
      <c r="J63" s="76">
        <f>IF(C63=0,0,'Цены Жалюзи'!$S$239)</f>
        <v>0</v>
      </c>
      <c r="K63" s="76">
        <f>IF(E63=0,0,'Цены Жалюзи'!$S$239)</f>
        <v>0</v>
      </c>
      <c r="L63" s="76">
        <f>IF(G63=0,0,'Цены Жалюзи'!$S$239)</f>
        <v>0</v>
      </c>
      <c r="M63" s="76">
        <f>IF(I63=0,0,'Цены Жалюзи'!$S$239)</f>
        <v>0</v>
      </c>
      <c r="O63" s="13"/>
    </row>
    <row r="64" spans="1:15" ht="15.75" customHeight="1">
      <c r="A64" s="67" t="s">
        <v>206</v>
      </c>
      <c r="B64" s="87"/>
      <c r="C64" s="79">
        <f t="shared" si="2"/>
        <v>0</v>
      </c>
      <c r="D64" s="86"/>
      <c r="E64" s="79">
        <f t="shared" si="2"/>
        <v>0</v>
      </c>
      <c r="F64" s="86"/>
      <c r="G64" s="79">
        <f t="shared" si="3"/>
        <v>0</v>
      </c>
      <c r="H64" s="86"/>
      <c r="I64" s="81">
        <f t="shared" si="4"/>
        <v>0</v>
      </c>
      <c r="J64" s="76">
        <f>IF(C64=0,0,'Цены Жалюзи'!$S$240)</f>
        <v>0</v>
      </c>
      <c r="K64" s="76">
        <f>IF(E64=0,0,'Цены Жалюзи'!$S$240)</f>
        <v>0</v>
      </c>
      <c r="L64" s="76">
        <f>IF(G64=0,0,'Цены Жалюзи'!$S$240)</f>
        <v>0</v>
      </c>
      <c r="M64" s="76">
        <f>IF(I64=0,0,'Цены Жалюзи'!$S$240)</f>
        <v>0</v>
      </c>
      <c r="O64" s="13"/>
    </row>
    <row r="65" spans="1:15" ht="15.75" customHeight="1">
      <c r="A65" s="67" t="s">
        <v>207</v>
      </c>
      <c r="B65" s="87"/>
      <c r="C65" s="79">
        <f t="shared" si="2"/>
        <v>0</v>
      </c>
      <c r="D65" s="86"/>
      <c r="E65" s="79">
        <f t="shared" si="2"/>
        <v>0</v>
      </c>
      <c r="F65" s="86"/>
      <c r="G65" s="79">
        <f t="shared" si="3"/>
        <v>0</v>
      </c>
      <c r="H65" s="86"/>
      <c r="I65" s="81">
        <f t="shared" si="4"/>
        <v>0</v>
      </c>
      <c r="J65" s="76">
        <f>IF(C65=0,0,'Цены Жалюзи'!$S$241)</f>
        <v>0</v>
      </c>
      <c r="K65" s="76">
        <f>IF(E65=0,0,'Цены Жалюзи'!$S$241)</f>
        <v>0</v>
      </c>
      <c r="L65" s="76">
        <f>IF(G65=0,0,'Цены Жалюзи'!$S$241)</f>
        <v>0</v>
      </c>
      <c r="M65" s="76">
        <f>IF(I65=0,0,'Цены Жалюзи'!$S$241)</f>
        <v>0</v>
      </c>
      <c r="O65" s="13"/>
    </row>
    <row r="66" spans="1:15" ht="15.75" customHeight="1">
      <c r="A66" s="67" t="s">
        <v>205</v>
      </c>
      <c r="B66" s="87"/>
      <c r="C66" s="79">
        <f t="shared" si="2"/>
        <v>0</v>
      </c>
      <c r="D66" s="86"/>
      <c r="E66" s="79">
        <f t="shared" si="2"/>
        <v>0</v>
      </c>
      <c r="F66" s="86"/>
      <c r="G66" s="79">
        <f t="shared" si="3"/>
        <v>0</v>
      </c>
      <c r="H66" s="86"/>
      <c r="I66" s="81">
        <f t="shared" si="4"/>
        <v>0</v>
      </c>
      <c r="J66" s="76">
        <f>IF(C66=0,0,'Цены Жалюзи'!$S$242)</f>
        <v>0</v>
      </c>
      <c r="K66" s="76">
        <f>IF(E66=0,0,'Цены Жалюзи'!$S$242)</f>
        <v>0</v>
      </c>
      <c r="L66" s="76">
        <f>IF(G66=0,0,'Цены Жалюзи'!$S$242)</f>
        <v>0</v>
      </c>
      <c r="M66" s="76">
        <f>IF(I66=0,0,'Цены Жалюзи'!$S$242)</f>
        <v>0</v>
      </c>
      <c r="O66" s="13"/>
    </row>
    <row r="67" spans="1:15" ht="15.75" customHeight="1">
      <c r="A67" s="67" t="s">
        <v>208</v>
      </c>
      <c r="B67" s="87"/>
      <c r="C67" s="79">
        <f>IF(B$15=$A67,1,0)</f>
        <v>0</v>
      </c>
      <c r="D67" s="86"/>
      <c r="E67" s="79">
        <f>IF(D$15=$A67,1,0)</f>
        <v>0</v>
      </c>
      <c r="F67" s="86"/>
      <c r="G67" s="79">
        <f t="shared" si="3"/>
        <v>0</v>
      </c>
      <c r="H67" s="86"/>
      <c r="I67" s="81">
        <f t="shared" si="4"/>
        <v>0</v>
      </c>
      <c r="J67" s="76">
        <f>IF(C67=0,0,'Цены Жалюзи'!$S$243)</f>
        <v>0</v>
      </c>
      <c r="K67" s="76">
        <f>IF(E67=0,0,'Цены Жалюзи'!$S$243)</f>
        <v>0</v>
      </c>
      <c r="L67" s="76">
        <f>IF(G67=0,0,'Цены Жалюзи'!$S$243)</f>
        <v>0</v>
      </c>
      <c r="M67" s="76">
        <f>IF(I67=0,0,'Цены Жалюзи'!$S$243)</f>
        <v>0</v>
      </c>
      <c r="O67" s="13"/>
    </row>
    <row r="68" spans="1:15" ht="15.75" customHeight="1">
      <c r="A68" s="67" t="s">
        <v>209</v>
      </c>
      <c r="B68" s="87"/>
      <c r="C68" s="79">
        <f t="shared" si="2"/>
        <v>0</v>
      </c>
      <c r="D68" s="86"/>
      <c r="E68" s="79">
        <f t="shared" si="2"/>
        <v>0</v>
      </c>
      <c r="F68" s="86"/>
      <c r="G68" s="79">
        <f t="shared" si="3"/>
        <v>0</v>
      </c>
      <c r="H68" s="86"/>
      <c r="I68" s="81">
        <f t="shared" si="4"/>
        <v>0</v>
      </c>
      <c r="J68" s="76">
        <f>IF(C68=0,0,'Цены Жалюзи'!$S$244)</f>
        <v>0</v>
      </c>
      <c r="K68" s="76">
        <f>IF(E68=0,0,'Цены Жалюзи'!$S$244)</f>
        <v>0</v>
      </c>
      <c r="L68" s="76">
        <f>IF(G68=0,0,'Цены Жалюзи'!$S$244)</f>
        <v>0</v>
      </c>
      <c r="M68" s="76">
        <f>IF(I68=0,0,'Цены Жалюзи'!$S$244)</f>
        <v>0</v>
      </c>
      <c r="O68" s="13"/>
    </row>
    <row r="69" spans="1:15" ht="15.75" customHeight="1">
      <c r="A69" s="67" t="s">
        <v>70</v>
      </c>
      <c r="B69" s="87"/>
      <c r="C69" s="79">
        <f t="shared" si="2"/>
        <v>0</v>
      </c>
      <c r="D69" s="86"/>
      <c r="E69" s="79">
        <f t="shared" si="2"/>
        <v>0</v>
      </c>
      <c r="F69" s="86"/>
      <c r="G69" s="79">
        <f t="shared" si="3"/>
        <v>0</v>
      </c>
      <c r="H69" s="86"/>
      <c r="I69" s="81">
        <f t="shared" si="4"/>
        <v>0</v>
      </c>
      <c r="J69" s="76">
        <f>IF(C69=0,0,'Цены Жалюзи'!$S$245)</f>
        <v>0</v>
      </c>
      <c r="K69" s="76">
        <f>IF(E69=0,0,'Цены Жалюзи'!$S$245)</f>
        <v>0</v>
      </c>
      <c r="L69" s="76">
        <f>IF(G69=0,0,'Цены Жалюзи'!$S$245)</f>
        <v>0</v>
      </c>
      <c r="M69" s="76">
        <f>IF(I69=0,0,'Цены Жалюзи'!$S$245)</f>
        <v>0</v>
      </c>
      <c r="O69" s="13"/>
    </row>
    <row r="70" spans="1:15" ht="15.75" customHeight="1">
      <c r="A70" s="67" t="s">
        <v>77</v>
      </c>
      <c r="B70" s="87"/>
      <c r="C70" s="79">
        <f t="shared" si="2"/>
        <v>0</v>
      </c>
      <c r="D70" s="86"/>
      <c r="E70" s="79">
        <f t="shared" si="2"/>
        <v>0</v>
      </c>
      <c r="F70" s="86"/>
      <c r="G70" s="79">
        <f t="shared" si="3"/>
        <v>0</v>
      </c>
      <c r="H70" s="86"/>
      <c r="I70" s="81">
        <f t="shared" si="4"/>
        <v>0</v>
      </c>
      <c r="J70" s="76">
        <f>IF(C70=0,0,'Цены Жалюзи'!$S$246)</f>
        <v>0</v>
      </c>
      <c r="K70" s="76">
        <f>IF(E70=0,0,'Цены Жалюзи'!$S$246)</f>
        <v>0</v>
      </c>
      <c r="L70" s="76">
        <f>IF(G70=0,0,'Цены Жалюзи'!$S$246)</f>
        <v>0</v>
      </c>
      <c r="M70" s="76">
        <f>IF(I70=0,0,'Цены Жалюзи'!$S$246)</f>
        <v>0</v>
      </c>
      <c r="O70" s="13"/>
    </row>
    <row r="71" spans="1:15" ht="15.75" customHeight="1">
      <c r="A71" s="67" t="s">
        <v>79</v>
      </c>
      <c r="B71" s="87"/>
      <c r="C71" s="79">
        <f t="shared" si="2"/>
        <v>0</v>
      </c>
      <c r="D71" s="86"/>
      <c r="E71" s="79">
        <f t="shared" si="2"/>
        <v>0</v>
      </c>
      <c r="F71" s="86"/>
      <c r="G71" s="79">
        <f t="shared" si="3"/>
        <v>0</v>
      </c>
      <c r="H71" s="86"/>
      <c r="I71" s="81">
        <f t="shared" si="4"/>
        <v>0</v>
      </c>
      <c r="J71" s="76">
        <f>IF(C71=0,0,'Цены Жалюзи'!$S$247)</f>
        <v>0</v>
      </c>
      <c r="K71" s="76">
        <f>IF(E71=0,0,'Цены Жалюзи'!$S$247)</f>
        <v>0</v>
      </c>
      <c r="L71" s="76">
        <f>IF(G71=0,0,'Цены Жалюзи'!$S$247)</f>
        <v>0</v>
      </c>
      <c r="M71" s="76">
        <f>IF(I71=0,0,'Цены Жалюзи'!$S$247)</f>
        <v>0</v>
      </c>
      <c r="O71" s="13"/>
    </row>
    <row r="72" spans="1:15" ht="16.5" customHeight="1">
      <c r="A72" s="101" t="s">
        <v>82</v>
      </c>
      <c r="B72" s="106"/>
      <c r="C72" s="107"/>
      <c r="D72" s="111"/>
      <c r="E72" s="112"/>
      <c r="F72" s="110"/>
      <c r="G72" s="107"/>
      <c r="H72" s="110"/>
      <c r="I72" s="106"/>
      <c r="J72" s="75"/>
      <c r="K72" s="75"/>
      <c r="L72" s="75"/>
      <c r="M72" s="75"/>
      <c r="O72" s="13"/>
    </row>
    <row r="73" spans="1:15" ht="16.5" customHeight="1">
      <c r="A73" s="67" t="s">
        <v>120</v>
      </c>
      <c r="B73" s="78" t="str">
        <f>IF($B$6="ламель 125",VLOOKUP(B$14,Данные!$A$121:$V$124,2,FALSE),0)</f>
        <v>-</v>
      </c>
      <c r="C73" s="88">
        <f>IF($B$6="ламель 125",VLOOKUP(B$14,Данные!$A$121:$V$124,3,FALSE),0)</f>
        <v>0</v>
      </c>
      <c r="D73" s="78" t="str">
        <f>IF($B$6="ламель 125",VLOOKUP(D$14,Данные!$A$121:$V$124,2,FALSE),0)</f>
        <v>-</v>
      </c>
      <c r="E73" s="88">
        <f>IF($B$6="ламель 125",VLOOKUP(D$14,Данные!$A$121:$V$124,3,FALSE),0)</f>
        <v>0</v>
      </c>
      <c r="F73" s="78" t="str">
        <f>IF($B$6="ламель 125",VLOOKUP(F$14,Данные!$A$121:$V$124,2,FALSE),0)</f>
        <v>-</v>
      </c>
      <c r="G73" s="88">
        <f>IF($B$6="ламель 125",VLOOKUP(F$14,Данные!$A$121:$V$124,3,FALSE),0)</f>
        <v>0</v>
      </c>
      <c r="H73" s="78" t="str">
        <f>IF($B$6="ламель 125",VLOOKUP(H$14,Данные!$A$121:$V$124,2,FALSE),0)</f>
        <v>-</v>
      </c>
      <c r="I73" s="78">
        <f>IF($B$6="ламель 125",VLOOKUP(H$14,Данные!$A$121:$V$124,3,FALSE),0)</f>
        <v>0</v>
      </c>
      <c r="J73" s="186">
        <f>IF(C73=0,0,VLOOKUP($A$20,'Цены Жалюзи'!$B$130:$P$154,2,FALSE)*B73*C73)</f>
        <v>0</v>
      </c>
      <c r="K73" s="76">
        <f>IF(E73=0,0,VLOOKUP($A$20,'Цены Жалюзи'!$B$130:$P$154,2,FALSE)*D73*E73)</f>
        <v>0</v>
      </c>
      <c r="L73" s="76">
        <f>IF(G73=0,0,VLOOKUP($A$20,'Цены Жалюзи'!$B$130:$P$154,2,FALSE)*F73*G73)</f>
        <v>0</v>
      </c>
      <c r="M73" s="76">
        <f>IF(I73=0,0,VLOOKUP($A$20,'Цены Жалюзи'!$B$130:$P$154,2,FALSE)*H73*I73)</f>
        <v>0</v>
      </c>
      <c r="O73" s="13"/>
    </row>
    <row r="74" spans="1:15" ht="16.5" customHeight="1">
      <c r="A74" s="67" t="s">
        <v>121</v>
      </c>
      <c r="B74" s="78" t="str">
        <f aca="true" t="shared" si="5" ref="B74:I74">B73</f>
        <v>-</v>
      </c>
      <c r="C74" s="88">
        <f t="shared" si="5"/>
        <v>0</v>
      </c>
      <c r="D74" s="78" t="str">
        <f t="shared" si="5"/>
        <v>-</v>
      </c>
      <c r="E74" s="88">
        <f t="shared" si="5"/>
        <v>0</v>
      </c>
      <c r="F74" s="78" t="str">
        <f t="shared" si="5"/>
        <v>-</v>
      </c>
      <c r="G74" s="88">
        <f t="shared" si="5"/>
        <v>0</v>
      </c>
      <c r="H74" s="78" t="str">
        <f t="shared" si="5"/>
        <v>-</v>
      </c>
      <c r="I74" s="78">
        <f t="shared" si="5"/>
        <v>0</v>
      </c>
      <c r="J74" s="186">
        <f>IF(C74=0,0,VLOOKUP($A$20,'Цены Жалюзи'!$B$130:$P$154,3,FALSE)*B74*C74)</f>
        <v>0</v>
      </c>
      <c r="K74" s="76">
        <f>IF(E74=0,0,VLOOKUP($A$20,'Цены Жалюзи'!$B$130:$P$154,3,FALSE)*D74*E74)</f>
        <v>0</v>
      </c>
      <c r="L74" s="76">
        <f>IF(G74=0,0,VLOOKUP($A$20,'Цены Жалюзи'!$B$130:$P$154,3,FALSE)*F74*G74)</f>
        <v>0</v>
      </c>
      <c r="M74" s="76">
        <f>IF(I74=0,0,VLOOKUP($A$20,'Цены Жалюзи'!$B$130:$P$154,3,FALSE)*H74*I74)</f>
        <v>0</v>
      </c>
      <c r="O74" s="13"/>
    </row>
    <row r="75" spans="1:15" ht="16.5" customHeight="1">
      <c r="A75" s="67" t="s">
        <v>327</v>
      </c>
      <c r="B75" s="78" t="str">
        <f>IF($B$6="ламель 125",VLOOKUP(B$14,Данные!$A$121:$V$124,4,FALSE),0)</f>
        <v>-</v>
      </c>
      <c r="C75" s="88">
        <f>IF($B$6="ламель 125",VLOOKUP(B$14,Данные!$A$121:$V$124,5,FALSE),0)</f>
        <v>0</v>
      </c>
      <c r="D75" s="78" t="str">
        <f>IF($B$6="ламель 125",VLOOKUP(D$14,Данные!$A$121:$V$124,4,FALSE),0)</f>
        <v>-</v>
      </c>
      <c r="E75" s="88">
        <f>IF($B$6="ламель 125",VLOOKUP(D$14,Данные!$A$121:$V$124,5,FALSE),0)</f>
        <v>0</v>
      </c>
      <c r="F75" s="78" t="str">
        <f>IF($B$6="ламель 125",VLOOKUP(F$14,Данные!$A$121:$V$124,4,FALSE),0)</f>
        <v>-</v>
      </c>
      <c r="G75" s="88">
        <f>IF($B$6="ламель 125",VLOOKUP(F$14,Данные!$A$121:$V$124,5,FALSE),0)</f>
        <v>0</v>
      </c>
      <c r="H75" s="78" t="str">
        <f>IF($B$6="ламель 125",VLOOKUP(H$14,Данные!$A$121:$V$124,4,FALSE),0)</f>
        <v>-</v>
      </c>
      <c r="I75" s="78">
        <f>IF($B$6="ламель 125",VLOOKUP(H$14,Данные!$A$121:$V$124,5,FALSE),0)</f>
        <v>0</v>
      </c>
      <c r="J75" s="186">
        <f>IF(C75=0,0,VLOOKUP($A$20,'Цены Жалюзи'!$B$188:$N$212,2,FALSE)*B75*C75)</f>
        <v>0</v>
      </c>
      <c r="K75" s="76">
        <f>IF(E75=0,0,VLOOKUP($A$20,'Цены Жалюзи'!$B$188:$N$212,2,FALSE)*D75*E75)</f>
        <v>0</v>
      </c>
      <c r="L75" s="76">
        <f>IF(G75=0,0,VLOOKUP($A$20,'Цены Жалюзи'!$B$188:$N$212,2,FALSE)*F75*G75)</f>
        <v>0</v>
      </c>
      <c r="M75" s="76">
        <f>IF(I75=0,0,VLOOKUP($A$20,'Цены Жалюзи'!$B$188:$N$212,2,FALSE)*H75*I75)</f>
        <v>0</v>
      </c>
      <c r="O75" s="13"/>
    </row>
    <row r="76" spans="1:15" ht="16.5" customHeight="1">
      <c r="A76" s="67" t="s">
        <v>328</v>
      </c>
      <c r="B76" s="78" t="str">
        <f aca="true" t="shared" si="6" ref="B76:I76">B75</f>
        <v>-</v>
      </c>
      <c r="C76" s="88">
        <f t="shared" si="6"/>
        <v>0</v>
      </c>
      <c r="D76" s="78" t="str">
        <f t="shared" si="6"/>
        <v>-</v>
      </c>
      <c r="E76" s="88">
        <f t="shared" si="6"/>
        <v>0</v>
      </c>
      <c r="F76" s="78" t="str">
        <f t="shared" si="6"/>
        <v>-</v>
      </c>
      <c r="G76" s="88">
        <f t="shared" si="6"/>
        <v>0</v>
      </c>
      <c r="H76" s="78" t="str">
        <f t="shared" si="6"/>
        <v>-</v>
      </c>
      <c r="I76" s="78">
        <f t="shared" si="6"/>
        <v>0</v>
      </c>
      <c r="J76" s="186">
        <f>IF(C76=0,0,VLOOKUP($A$20,'Цены Жалюзи'!$B$188:$N$212,3,FALSE)*B76*C76)</f>
        <v>0</v>
      </c>
      <c r="K76" s="76">
        <f>IF(E76=0,0,VLOOKUP($A$20,'Цены Жалюзи'!$B$188:$N$212,3,FALSE)*D76*E76)</f>
        <v>0</v>
      </c>
      <c r="L76" s="76">
        <f>IF(G76=0,0,VLOOKUP($A$20,'Цены Жалюзи'!$B$188:$N$212,3,FALSE)*F76*G76)</f>
        <v>0</v>
      </c>
      <c r="M76" s="76">
        <f>IF(I76=0,0,VLOOKUP($A$20,'Цены Жалюзи'!$B$188:$N$212,3,FALSE)*H76*I76)</f>
        <v>0</v>
      </c>
      <c r="O76" s="13"/>
    </row>
    <row r="77" spans="1:15" ht="16.5" customHeight="1">
      <c r="A77" s="67" t="s">
        <v>122</v>
      </c>
      <c r="B77" s="78">
        <f>IF($B$6="ламель 150",VLOOKUP(B$14,Данные!$A$121:$V$124,6,FALSE),0)</f>
        <v>0</v>
      </c>
      <c r="C77" s="88">
        <f>IF($B$6="ламель 150",VLOOKUP(B$14,Данные!$A$121:$V$124,7,FALSE),0)</f>
        <v>0</v>
      </c>
      <c r="D77" s="78">
        <f>IF($B$6="ламель 150",VLOOKUP(D$14,Данные!$A$121:$V$124,6,FALSE),0)</f>
        <v>0</v>
      </c>
      <c r="E77" s="88">
        <f>IF($B$6="ламель 150",VLOOKUP(D$14,Данные!$A$121:$V$124,7,FALSE),0)</f>
        <v>0</v>
      </c>
      <c r="F77" s="78">
        <f>IF($B$6="ламель 150",VLOOKUP(F$14,Данные!$A$121:$V$124,6,FALSE),0)</f>
        <v>0</v>
      </c>
      <c r="G77" s="88">
        <f>IF($B$6="ламель 150",VLOOKUP(F$14,Данные!$A$121:$V$124,7,FALSE),0)</f>
        <v>0</v>
      </c>
      <c r="H77" s="78">
        <f>IF($B$6="ламель 150",VLOOKUP(H$14,Данные!$A$121:$V$124,6,FALSE),0)</f>
        <v>0</v>
      </c>
      <c r="I77" s="78">
        <f>IF($B$6="ламель 150",VLOOKUP(H$14,Данные!$A$121:$V$124,7,FALSE),0)</f>
        <v>0</v>
      </c>
      <c r="J77" s="186">
        <f>IF(C77=0,0,VLOOKUP($A$20,'Цены Жалюзи'!$B$130:$P$154,4,FALSE)*B77*C77)</f>
        <v>0</v>
      </c>
      <c r="K77" s="76">
        <f>IF(E77=0,0,VLOOKUP($A$20,'Цены Жалюзи'!$B$130:$P$154,4,FALSE)*D77*E77)</f>
        <v>0</v>
      </c>
      <c r="L77" s="76">
        <f>IF(G77=0,0,VLOOKUP($A$20,'Цены Жалюзи'!$B$130:$P$154,4,FALSE)*F77*G77)</f>
        <v>0</v>
      </c>
      <c r="M77" s="76">
        <f>IF(I77=0,0,VLOOKUP($A$20,'Цены Жалюзи'!$B$130:$P$154,4,FALSE)*H77*I77)</f>
        <v>0</v>
      </c>
      <c r="O77" s="13"/>
    </row>
    <row r="78" spans="1:15" ht="16.5" customHeight="1">
      <c r="A78" s="67" t="s">
        <v>123</v>
      </c>
      <c r="B78" s="78">
        <f aca="true" t="shared" si="7" ref="B78:I78">B77</f>
        <v>0</v>
      </c>
      <c r="C78" s="88">
        <f t="shared" si="7"/>
        <v>0</v>
      </c>
      <c r="D78" s="78">
        <f t="shared" si="7"/>
        <v>0</v>
      </c>
      <c r="E78" s="88">
        <f t="shared" si="7"/>
        <v>0</v>
      </c>
      <c r="F78" s="78">
        <f t="shared" si="7"/>
        <v>0</v>
      </c>
      <c r="G78" s="88">
        <f t="shared" si="7"/>
        <v>0</v>
      </c>
      <c r="H78" s="78">
        <f t="shared" si="7"/>
        <v>0</v>
      </c>
      <c r="I78" s="78">
        <f t="shared" si="7"/>
        <v>0</v>
      </c>
      <c r="J78" s="186">
        <f>IF(C78=0,0,VLOOKUP($A$20,'Цены Жалюзи'!$B$130:$P$154,5,FALSE)*B78*C78)</f>
        <v>0</v>
      </c>
      <c r="K78" s="76">
        <f>IF(E78=0,0,VLOOKUP($A$20,'Цены Жалюзи'!$B$130:$P$154,5,FALSE)*D78*E78)</f>
        <v>0</v>
      </c>
      <c r="L78" s="76">
        <f>IF(G78=0,0,VLOOKUP($A$20,'Цены Жалюзи'!$B$130:$P$154,5,FALSE)*F78*G78)</f>
        <v>0</v>
      </c>
      <c r="M78" s="76">
        <f>IF(I78=0,0,VLOOKUP($A$20,'Цены Жалюзи'!$B$130:$P$154,5,FALSE)*H78*I78)</f>
        <v>0</v>
      </c>
      <c r="O78" s="13"/>
    </row>
    <row r="79" spans="1:15" ht="16.5" customHeight="1">
      <c r="A79" s="67" t="s">
        <v>362</v>
      </c>
      <c r="B79" s="78">
        <f>IF($B$6="ламель 150",VLOOKUP(B$14,Данные!$A$121:$V$124,8,FALSE),0)</f>
        <v>0</v>
      </c>
      <c r="C79" s="88">
        <f>IF($B$6="ламель 150",VLOOKUP(B$14,Данные!$A$121:$V$124,9,FALSE),0)</f>
        <v>0</v>
      </c>
      <c r="D79" s="78">
        <f>IF($B$6="ламель 150",VLOOKUP(D$14,Данные!$A$121:$V$124,8,FALSE),0)</f>
        <v>0</v>
      </c>
      <c r="E79" s="88">
        <f>IF($B$6="ламель 150",VLOOKUP(D$14,Данные!$A$121:$V$124,9,FALSE),0)</f>
        <v>0</v>
      </c>
      <c r="F79" s="78">
        <f>IF($B$6="ламель 150",VLOOKUP(F$14,Данные!$A$121:$V$124,8,FALSE),0)</f>
        <v>0</v>
      </c>
      <c r="G79" s="88">
        <f>IF($B$6="ламель 150",VLOOKUP(F$14,Данные!$A$121:$V$124,9,FALSE),0)</f>
        <v>0</v>
      </c>
      <c r="H79" s="78">
        <f>IF($B$6="ламель 150",VLOOKUP(H$14,Данные!$A$121:$V$124,8,FALSE),0)</f>
        <v>0</v>
      </c>
      <c r="I79" s="78">
        <f>IF($B$6="ламель 150",VLOOKUP(H$14,Данные!$A$121:$V$124,9,FALSE),0)</f>
        <v>0</v>
      </c>
      <c r="J79" s="186">
        <f>IF(C79=0,0,VLOOKUP($A$20,'Цены Жалюзи'!$B$188:$N$212,4,FALSE)*B79*C79)</f>
        <v>0</v>
      </c>
      <c r="K79" s="76">
        <f>IF(E79=0,0,VLOOKUP($A$20,'Цены Жалюзи'!$B$188:$N$212,4,FALSE)*D79*E79)</f>
        <v>0</v>
      </c>
      <c r="L79" s="76">
        <f>IF(G79=0,0,VLOOKUP($A$20,'Цены Жалюзи'!$B$188:$N$212,4,FALSE)*F79*G79)</f>
        <v>0</v>
      </c>
      <c r="M79" s="76">
        <f>IF(I79=0,0,VLOOKUP($A$20,'Цены Жалюзи'!$B$188:$N$212,4,FALSE)*H79*I79)</f>
        <v>0</v>
      </c>
      <c r="O79" s="13"/>
    </row>
    <row r="80" spans="1:15" ht="16.5" customHeight="1">
      <c r="A80" s="67" t="s">
        <v>363</v>
      </c>
      <c r="B80" s="78">
        <f aca="true" t="shared" si="8" ref="B80:I80">B79</f>
        <v>0</v>
      </c>
      <c r="C80" s="88">
        <f t="shared" si="8"/>
        <v>0</v>
      </c>
      <c r="D80" s="78">
        <f t="shared" si="8"/>
        <v>0</v>
      </c>
      <c r="E80" s="88">
        <f t="shared" si="8"/>
        <v>0</v>
      </c>
      <c r="F80" s="78">
        <f t="shared" si="8"/>
        <v>0</v>
      </c>
      <c r="G80" s="88">
        <f t="shared" si="8"/>
        <v>0</v>
      </c>
      <c r="H80" s="78">
        <f t="shared" si="8"/>
        <v>0</v>
      </c>
      <c r="I80" s="78">
        <f t="shared" si="8"/>
        <v>0</v>
      </c>
      <c r="J80" s="186">
        <f>IF(C80=0,0,VLOOKUP($A$20,'Цены Жалюзи'!$B$188:$N$212,5,FALSE)*B80*C80)</f>
        <v>0</v>
      </c>
      <c r="K80" s="76">
        <f>IF(E80=0,0,VLOOKUP($A$20,'Цены Жалюзи'!$B$188:$N$212,5,FALSE)*D80*E80)</f>
        <v>0</v>
      </c>
      <c r="L80" s="76">
        <f>IF(G80=0,0,VLOOKUP($A$20,'Цены Жалюзи'!$B$188:$N$212,5,FALSE)*F80*G80)</f>
        <v>0</v>
      </c>
      <c r="M80" s="76">
        <f>IF(I80=0,0,VLOOKUP($A$20,'Цены Жалюзи'!$B$188:$N$212,5,FALSE)*H80*I80)</f>
        <v>0</v>
      </c>
      <c r="O80" s="13"/>
    </row>
    <row r="81" spans="1:15" ht="16.5" customHeight="1">
      <c r="A81" s="67" t="s">
        <v>124</v>
      </c>
      <c r="B81" s="78" t="str">
        <f>IF($B$6="ламель 125",VLOOKUP(B$14,Данные!$A$121:$V$124,12,FALSE),0)</f>
        <v>-</v>
      </c>
      <c r="C81" s="88">
        <f>IF(AND($B$6="ламель 125",NOT(B$14="нет")),1,0)</f>
        <v>0</v>
      </c>
      <c r="D81" s="78" t="str">
        <f>IF($B$6="ламель 125",VLOOKUP(D$14,Данные!$A$121:$V$124,12,FALSE),0)</f>
        <v>-</v>
      </c>
      <c r="E81" s="88">
        <f>IF(AND($B$6="ламель 125",NOT(D$14="нет")),1,0)</f>
        <v>0</v>
      </c>
      <c r="F81" s="78" t="str">
        <f>IF($B$6="ламель 125",VLOOKUP(F$14,Данные!$A$121:$V$124,12,FALSE),0)</f>
        <v>-</v>
      </c>
      <c r="G81" s="88">
        <f>IF(AND($B$6="ламель 125",NOT(F$14="нет")),1,0)</f>
        <v>0</v>
      </c>
      <c r="H81" s="78" t="str">
        <f>IF($B$6="ламель 125",VLOOKUP(H$14,Данные!$A$121:$V$124,12,FALSE),0)</f>
        <v>-</v>
      </c>
      <c r="I81" s="78">
        <f>IF(AND($B$6="ламель 125",NOT(H$14="нет")),1,0)</f>
        <v>0</v>
      </c>
      <c r="J81" s="186">
        <f>IF(C81=0,0,VLOOKUP($A$20,'Цены Жалюзи'!$B$130:$P$154,6,FALSE)*B81*C81)</f>
        <v>0</v>
      </c>
      <c r="K81" s="76">
        <f>IF(E81=0,0,VLOOKUP($A$20,'Цены Жалюзи'!$B$130:$P$154,6,FALSE)*D81*E81)</f>
        <v>0</v>
      </c>
      <c r="L81" s="76">
        <f>IF(G81=0,0,VLOOKUP($A$20,'Цены Жалюзи'!$B$130:$P$154,6,FALSE)*F81*G81)</f>
        <v>0</v>
      </c>
      <c r="M81" s="76">
        <f>IF(I81=0,0,VLOOKUP($A$20,'Цены Жалюзи'!$B$130:$P$154,6,FALSE)*H81*I81)</f>
        <v>0</v>
      </c>
      <c r="O81" s="13"/>
    </row>
    <row r="82" spans="1:15" ht="16.5" customHeight="1">
      <c r="A82" s="67" t="s">
        <v>125</v>
      </c>
      <c r="B82" s="78">
        <f>IF($B$6="ламель 150",VLOOKUP(B$14,Данные!$A$121:$V$124,13,FALSE),0)</f>
        <v>0</v>
      </c>
      <c r="C82" s="88">
        <f>IF(AND($B$6="ламель 150",NOT(B$14="нет")),1,0)</f>
        <v>0</v>
      </c>
      <c r="D82" s="78">
        <f>IF($B$6="ламель 150",VLOOKUP(D$14,Данные!$A$121:$V$124,13,FALSE),0)</f>
        <v>0</v>
      </c>
      <c r="E82" s="88">
        <f>IF(AND($B$6="ламель 150",NOT(D$14="нет")),1,0)</f>
        <v>0</v>
      </c>
      <c r="F82" s="78">
        <f>IF($B$6="ламель 150",VLOOKUP(F$14,Данные!$A$121:$V$124,13,FALSE),0)</f>
        <v>0</v>
      </c>
      <c r="G82" s="88">
        <f>IF(AND($B$6="ламель 150",NOT(F$14="нет")),1,0)</f>
        <v>0</v>
      </c>
      <c r="H82" s="78">
        <f>IF($B$6="ламель 150",VLOOKUP(H$14,Данные!$A$121:$V$124,13,FALSE),0)</f>
        <v>0</v>
      </c>
      <c r="I82" s="78">
        <f>IF(AND($B$6="ламель 150",NOT(H$14="нет")),1,0)</f>
        <v>0</v>
      </c>
      <c r="J82" s="186">
        <f>IF(C82=0,0,VLOOKUP($A$20,'Цены Жалюзи'!$B$130:$P$154,7,FALSE)*B82*C82)</f>
        <v>0</v>
      </c>
      <c r="K82" s="76">
        <f>IF(E82=0,0,VLOOKUP($A$20,'Цены Жалюзи'!$B$130:$P$154,7,FALSE)*D82*E82)</f>
        <v>0</v>
      </c>
      <c r="L82" s="76">
        <f>IF(G82=0,0,VLOOKUP($A$20,'Цены Жалюзи'!$B$130:$P$154,7,FALSE)*F82*G82)</f>
        <v>0</v>
      </c>
      <c r="M82" s="76">
        <f>IF(I82=0,0,VLOOKUP($A$20,'Цены Жалюзи'!$B$130:$P$154,7,FALSE)*H82*I82)</f>
        <v>0</v>
      </c>
      <c r="O82" s="13"/>
    </row>
    <row r="83" spans="1:15" ht="16.5" customHeight="1">
      <c r="A83" s="67" t="s">
        <v>145</v>
      </c>
      <c r="B83" s="78" t="str">
        <f>IF($B$6="ламель 125",VLOOKUP(B$14,Данные!$A$121:$V$124,10,FALSE),VLOOKUP(B$14,Данные!$A$121:$V$124,11,FALSE))</f>
        <v>-</v>
      </c>
      <c r="C83" s="88">
        <f>IF(NOT(B$14="нет"),2,0)</f>
        <v>0</v>
      </c>
      <c r="D83" s="78" t="str">
        <f>IF($B$6="ламель 125",VLOOKUP(D$14,Данные!$A$121:$V$124,10,FALSE),VLOOKUP(D$14,Данные!$A$121:$V$124,11,FALSE))</f>
        <v>-</v>
      </c>
      <c r="E83" s="88">
        <f>IF(NOT(D$14="нет"),2,0)</f>
        <v>0</v>
      </c>
      <c r="F83" s="78" t="str">
        <f>IF($B$6="ламель 125",VLOOKUP(F$14,Данные!$A$121:$V$124,10,FALSE),VLOOKUP(F$14,Данные!$A$121:$V$124,11,FALSE))</f>
        <v>-</v>
      </c>
      <c r="G83" s="88">
        <f>IF(NOT(F$14="нет"),2,0)</f>
        <v>0</v>
      </c>
      <c r="H83" s="78" t="str">
        <f>IF($B$6="ламель 125",VLOOKUP(H$14,Данные!$A$121:$V$124,10,FALSE),VLOOKUP(H$14,Данные!$A$121:$V$124,11,FALSE))</f>
        <v>-</v>
      </c>
      <c r="I83" s="78">
        <f>IF(NOT(H$14="нет"),2,0)</f>
        <v>0</v>
      </c>
      <c r="J83" s="186">
        <f>IF(C83=0,0,VLOOKUP($A$20,'Цены Жалюзи'!$B$188:$N$212,6,FALSE)*B83*C83)</f>
        <v>0</v>
      </c>
      <c r="K83" s="76">
        <f>IF(E83=0,0,VLOOKUP($A$20,'Цены Жалюзи'!$B$188:$N$212,6,FALSE)*D83*E83)</f>
        <v>0</v>
      </c>
      <c r="L83" s="76">
        <f>IF(G83=0,0,VLOOKUP($A$20,'Цены Жалюзи'!$B$188:$N$212,6,FALSE)*F83*G83)</f>
        <v>0</v>
      </c>
      <c r="M83" s="76">
        <f>IF(I83=0,0,VLOOKUP($A$20,'Цены Жалюзи'!$B$188:$N$212,6,FALSE)*H83*I83)</f>
        <v>0</v>
      </c>
      <c r="O83" s="13"/>
    </row>
    <row r="84" spans="1:15" ht="16.5" customHeight="1">
      <c r="A84" s="67" t="s">
        <v>168</v>
      </c>
      <c r="B84" s="78" t="s">
        <v>28</v>
      </c>
      <c r="C84" s="88">
        <f>IF($B$6="ламель 125",VLOOKUP(B$14,Данные!$A$121:$V$124,17,FALSE),0)</f>
        <v>0</v>
      </c>
      <c r="D84" s="78" t="s">
        <v>28</v>
      </c>
      <c r="E84" s="88">
        <f>IF($B$6="ламель 125",VLOOKUP(D$14,Данные!$A$121:$V$124,17,FALSE),0)</f>
        <v>0</v>
      </c>
      <c r="F84" s="78" t="s">
        <v>28</v>
      </c>
      <c r="G84" s="88">
        <f>IF($B$6="ламель 125",VLOOKUP(F$14,Данные!$A$121:$V$124,17,FALSE),0)</f>
        <v>0</v>
      </c>
      <c r="H84" s="78" t="s">
        <v>28</v>
      </c>
      <c r="I84" s="78">
        <f>IF($B$6="ламель 125",VLOOKUP(H$14,Данные!$A$121:$V$124,17,FALSE),0)</f>
        <v>0</v>
      </c>
      <c r="J84" s="186">
        <f>IF(C84=0,0,VLOOKUP($A$20,'Цены Жалюзи'!$B$188:$N$212,7,FALSE)*C84)</f>
        <v>0</v>
      </c>
      <c r="K84" s="76">
        <f>IF(E84=0,0,VLOOKUP($A$20,'Цены Жалюзи'!$B$188:$N$212,7,FALSE)*E84)</f>
        <v>0</v>
      </c>
      <c r="L84" s="76">
        <f>IF(G84=0,0,VLOOKUP($A$20,'Цены Жалюзи'!$B$188:$N$212,7,FALSE)*G84)</f>
        <v>0</v>
      </c>
      <c r="M84" s="76">
        <f>IF(I84=0,0,VLOOKUP($A$20,'Цены Жалюзи'!$B$188:$N$212,7,FALSE)*I84)</f>
        <v>0</v>
      </c>
      <c r="O84" s="13"/>
    </row>
    <row r="85" spans="1:15" ht="16.5" customHeight="1">
      <c r="A85" s="67" t="s">
        <v>169</v>
      </c>
      <c r="B85" s="78" t="s">
        <v>28</v>
      </c>
      <c r="C85" s="88">
        <f>IF($B$6="ламель 125",VLOOKUP(B$14,Данные!$A$121:$V$124,18,FALSE),0)</f>
        <v>0</v>
      </c>
      <c r="D85" s="78" t="s">
        <v>28</v>
      </c>
      <c r="E85" s="88">
        <f>IF($B$6="ламель 125",VLOOKUP(D$14,Данные!$A$121:$V$124,18,FALSE),0)</f>
        <v>0</v>
      </c>
      <c r="F85" s="78" t="s">
        <v>28</v>
      </c>
      <c r="G85" s="88">
        <f>IF($B$6="ламель 125",VLOOKUP(F$14,Данные!$A$121:$V$124,18,FALSE),0)</f>
        <v>0</v>
      </c>
      <c r="H85" s="78" t="s">
        <v>28</v>
      </c>
      <c r="I85" s="78">
        <f>IF($B$6="ламель 125",VLOOKUP(H$14,Данные!$A$121:$V$124,18,FALSE),0)</f>
        <v>0</v>
      </c>
      <c r="J85" s="186">
        <f>IF(C85=0,0,VLOOKUP($A$20,'Цены Жалюзи'!$B$188:$N$212,8,FALSE)*C85)</f>
        <v>0</v>
      </c>
      <c r="K85" s="76">
        <f>IF(E85=0,0,VLOOKUP($A$20,'Цены Жалюзи'!$B$188:$N$212,8,FALSE)*E85)</f>
        <v>0</v>
      </c>
      <c r="L85" s="76">
        <f>IF(G85=0,0,VLOOKUP($A$20,'Цены Жалюзи'!$B$188:$N$212,8,FALSE)*G85)</f>
        <v>0</v>
      </c>
      <c r="M85" s="76">
        <f>IF(I85=0,0,VLOOKUP($A$20,'Цены Жалюзи'!$B$188:$N$212,8,FALSE)*I85)</f>
        <v>0</v>
      </c>
      <c r="O85" s="13"/>
    </row>
    <row r="86" spans="1:15" ht="16.5" customHeight="1">
      <c r="A86" s="67" t="s">
        <v>170</v>
      </c>
      <c r="B86" s="78" t="s">
        <v>28</v>
      </c>
      <c r="C86" s="88">
        <f>IF($B$6="ламель 125",VLOOKUP(B$14,Данные!$A$121:$V$124,19,FALSE),0)</f>
        <v>0</v>
      </c>
      <c r="D86" s="78" t="s">
        <v>28</v>
      </c>
      <c r="E86" s="88">
        <f>IF($B$6="ламель 125",VLOOKUP(D$14,Данные!$A$121:$V$124,19,FALSE),0)</f>
        <v>0</v>
      </c>
      <c r="F86" s="78" t="s">
        <v>28</v>
      </c>
      <c r="G86" s="88">
        <f>IF($B$6="ламель 125",VLOOKUP(F$14,Данные!$A$121:$V$124,19,FALSE),0)</f>
        <v>0</v>
      </c>
      <c r="H86" s="78" t="s">
        <v>28</v>
      </c>
      <c r="I86" s="78">
        <f>IF($B$6="ламель 125",VLOOKUP(H$14,Данные!$A$121:$V$124,19,FALSE),0)</f>
        <v>0</v>
      </c>
      <c r="J86" s="186">
        <f>IF(C86=0,0,VLOOKUP($A$20,'Цены Жалюзи'!$B$188:$N$212,9,FALSE)*C86)</f>
        <v>0</v>
      </c>
      <c r="K86" s="76">
        <f>IF(E86=0,0,VLOOKUP($A$20,'Цены Жалюзи'!$B$188:$N$212,9,FALSE)*E86)</f>
        <v>0</v>
      </c>
      <c r="L86" s="76">
        <f>IF(G86=0,0,VLOOKUP($A$20,'Цены Жалюзи'!$B$188:$N$212,9,FALSE)*G86)</f>
        <v>0</v>
      </c>
      <c r="M86" s="76">
        <f>IF(I86=0,0,VLOOKUP($A$20,'Цены Жалюзи'!$B$188:$N$212,9,FALSE)*I86)</f>
        <v>0</v>
      </c>
      <c r="O86" s="13"/>
    </row>
    <row r="87" spans="1:15" ht="16.5" customHeight="1">
      <c r="A87" s="67" t="s">
        <v>171</v>
      </c>
      <c r="B87" s="78" t="s">
        <v>28</v>
      </c>
      <c r="C87" s="88">
        <f>IF($B$6="ламель 150",VLOOKUP(B$14,Данные!$A$121:$V$124,20,FALSE),0)</f>
        <v>0</v>
      </c>
      <c r="D87" s="78" t="s">
        <v>28</v>
      </c>
      <c r="E87" s="88">
        <f>IF($B$6="ламель 150",VLOOKUP(D$14,Данные!$A$121:$V$124,20,FALSE),0)</f>
        <v>0</v>
      </c>
      <c r="F87" s="78" t="s">
        <v>28</v>
      </c>
      <c r="G87" s="88">
        <f>IF($B$6="ламель 150",VLOOKUP(F$14,Данные!$A$121:$V$124,20,FALSE),0)</f>
        <v>0</v>
      </c>
      <c r="H87" s="78" t="s">
        <v>28</v>
      </c>
      <c r="I87" s="78">
        <f>IF($B$6="ламель 150",VLOOKUP(H$14,Данные!$A$121:$V$124,20,FALSE),0)</f>
        <v>0</v>
      </c>
      <c r="J87" s="186">
        <f>IF(C87=0,0,VLOOKUP($A$20,'Цены Жалюзи'!$B$188:$N$212,10,FALSE)*C87)</f>
        <v>0</v>
      </c>
      <c r="K87" s="76">
        <f>IF(E87=0,0,VLOOKUP($A$20,'Цены Жалюзи'!$B$188:$N$212,10,FALSE)*E87)</f>
        <v>0</v>
      </c>
      <c r="L87" s="76">
        <f>IF(G87=0,0,VLOOKUP($A$20,'Цены Жалюзи'!$B$188:$N$212,10,FALSE)*G87)</f>
        <v>0</v>
      </c>
      <c r="M87" s="76">
        <f>IF(I87=0,0,VLOOKUP($A$20,'Цены Жалюзи'!$B$188:$N$212,10,FALSE)*I87)</f>
        <v>0</v>
      </c>
      <c r="O87" s="13"/>
    </row>
    <row r="88" spans="1:15" ht="16.5" customHeight="1">
      <c r="A88" s="67" t="s">
        <v>172</v>
      </c>
      <c r="B88" s="78" t="s">
        <v>28</v>
      </c>
      <c r="C88" s="88">
        <f>IF($B$6="ламель 150",VLOOKUP(B$14,Данные!$A$121:$V$124,21,FALSE),0)</f>
        <v>0</v>
      </c>
      <c r="D88" s="78" t="s">
        <v>28</v>
      </c>
      <c r="E88" s="88">
        <f>IF($B$6="ламель 150",VLOOKUP(D$14,Данные!$A$121:$V$124,21,FALSE),0)</f>
        <v>0</v>
      </c>
      <c r="F88" s="78" t="s">
        <v>28</v>
      </c>
      <c r="G88" s="88">
        <f>IF($B$6="ламель 150",VLOOKUP(F$14,Данные!$A$121:$V$124,21,FALSE),0)</f>
        <v>0</v>
      </c>
      <c r="H88" s="78" t="s">
        <v>28</v>
      </c>
      <c r="I88" s="78">
        <f>IF($B$6="ламель 150",VLOOKUP(H$14,Данные!$A$121:$V$124,21,FALSE),0)</f>
        <v>0</v>
      </c>
      <c r="J88" s="186">
        <f>IF(C88=0,0,VLOOKUP($A$20,'Цены Жалюзи'!$B$188:$N$212,11,FALSE)*C88)</f>
        <v>0</v>
      </c>
      <c r="K88" s="76">
        <f>IF(E88=0,0,VLOOKUP($A$20,'Цены Жалюзи'!$B$188:$N$212,11,FALSE)*E88)</f>
        <v>0</v>
      </c>
      <c r="L88" s="76">
        <f>IF(G88=0,0,VLOOKUP($A$20,'Цены Жалюзи'!$B$188:$N$212,11,FALSE)*G88)</f>
        <v>0</v>
      </c>
      <c r="M88" s="76">
        <f>IF(I88=0,0,VLOOKUP($A$20,'Цены Жалюзи'!$B$188:$N$212,11,FALSE)*I88)</f>
        <v>0</v>
      </c>
      <c r="O88" s="13"/>
    </row>
    <row r="89" spans="1:15" ht="16.5" customHeight="1">
      <c r="A89" s="67" t="s">
        <v>173</v>
      </c>
      <c r="B89" s="78" t="s">
        <v>28</v>
      </c>
      <c r="C89" s="88">
        <f>IF($B$6="ламель 150",VLOOKUP(B$14,Данные!$A$121:$V$124,22,FALSE),0)</f>
        <v>0</v>
      </c>
      <c r="D89" s="78" t="s">
        <v>28</v>
      </c>
      <c r="E89" s="88">
        <f>IF($B$6="ламель 150",VLOOKUP(D$14,Данные!$A$121:$V$124,22,FALSE),0)</f>
        <v>0</v>
      </c>
      <c r="F89" s="78" t="s">
        <v>28</v>
      </c>
      <c r="G89" s="88">
        <f>IF($B$6="ламель 150",VLOOKUP(F$14,Данные!$A$121:$V$124,22,FALSE),0)</f>
        <v>0</v>
      </c>
      <c r="H89" s="78" t="s">
        <v>28</v>
      </c>
      <c r="I89" s="78">
        <f>IF($B$6="ламель 150",VLOOKUP(H$14,Данные!$A$121:$V$124,22,FALSE),0)</f>
        <v>0</v>
      </c>
      <c r="J89" s="186">
        <f>IF(C89=0,0,VLOOKUP($A$20,'Цены Жалюзи'!$B$188:$N$212,12,FALSE)*C89)</f>
        <v>0</v>
      </c>
      <c r="K89" s="76">
        <f>IF(E89=0,0,VLOOKUP($A$20,'Цены Жалюзи'!$B$188:$N$212,12,FALSE)*E89)</f>
        <v>0</v>
      </c>
      <c r="L89" s="76">
        <f>IF(G89=0,0,VLOOKUP($A$20,'Цены Жалюзи'!$B$188:$N$212,12,FALSE)*G89)</f>
        <v>0</v>
      </c>
      <c r="M89" s="76">
        <f>IF(I89=0,0,VLOOKUP($A$20,'Цены Жалюзи'!$B$188:$N$212,12,FALSE)*I89)</f>
        <v>0</v>
      </c>
      <c r="O89" s="13"/>
    </row>
    <row r="90" spans="1:15" ht="16.5" customHeight="1">
      <c r="A90" s="67" t="s">
        <v>273</v>
      </c>
      <c r="B90" s="82" t="str">
        <f>IF(C90=0,"-","4,0х10")</f>
        <v>-</v>
      </c>
      <c r="C90" s="88">
        <f>IF($B$6="ламель 125",VLOOKUP(B$14,Данные!$A$121:$V$124,14,FALSE),VLOOKUP(B$14,Данные!$A$121:$V$124,15,FALSE))</f>
        <v>0</v>
      </c>
      <c r="D90" s="82" t="str">
        <f>IF(E90=0,"-","4,0х10")</f>
        <v>-</v>
      </c>
      <c r="E90" s="88">
        <f>IF($B$6="ламель 125",VLOOKUP(D$14,Данные!$A$121:$V$124,14,FALSE),VLOOKUP(D$14,Данные!$A$121:$V$124,15,FALSE))</f>
        <v>0</v>
      </c>
      <c r="F90" s="82" t="str">
        <f>IF(G90=0,"-","4,0х10")</f>
        <v>-</v>
      </c>
      <c r="G90" s="88">
        <f>IF($B$6="ламель 125",VLOOKUP(F$14,Данные!$A$121:$V$124,14,FALSE),VLOOKUP(F$14,Данные!$A$121:$V$124,15,FALSE))</f>
        <v>0</v>
      </c>
      <c r="H90" s="82" t="str">
        <f>IF(I90=0,"-","4,0х10")</f>
        <v>-</v>
      </c>
      <c r="I90" s="78">
        <f>IF($B$6="ламель 125",VLOOKUP(H$14,Данные!$A$121:$V$124,14,FALSE),VLOOKUP(H$14,Данные!$A$121:$V$124,15,FALSE))</f>
        <v>0</v>
      </c>
      <c r="J90" s="76">
        <f>IF(C90=0,0,C90*'Цены Жалюзи'!$C$228)</f>
        <v>0</v>
      </c>
      <c r="K90" s="76">
        <f>IF(E90=0,0,E90*'Цены Жалюзи'!$C$228)</f>
        <v>0</v>
      </c>
      <c r="L90" s="76">
        <f>IF(G90=0,0,G90*'Цены Жалюзи'!$C$228)</f>
        <v>0</v>
      </c>
      <c r="M90" s="76">
        <f>IF(I90=0,0,I90*'Цены Жалюзи'!$C$228)</f>
        <v>0</v>
      </c>
      <c r="O90" s="13"/>
    </row>
    <row r="91" spans="1:15" ht="16.5" customHeight="1">
      <c r="A91" s="53" t="s">
        <v>129</v>
      </c>
      <c r="B91" s="82" t="str">
        <f>IF(C91=0,"-","4,2x16")</f>
        <v>-</v>
      </c>
      <c r="C91" s="88">
        <f>VLOOKUP(B$14,Данные!$A$121:$V$124,16,FALSE)</f>
        <v>0</v>
      </c>
      <c r="D91" s="82" t="str">
        <f>IF(E91=0,"-","4,2x16")</f>
        <v>-</v>
      </c>
      <c r="E91" s="88">
        <f>VLOOKUP(D$14,Данные!$A$121:$V$124,16,FALSE)</f>
        <v>0</v>
      </c>
      <c r="F91" s="82" t="str">
        <f>IF(G91=0,"-","4,2x16")</f>
        <v>-</v>
      </c>
      <c r="G91" s="88">
        <f>VLOOKUP(F$14,Данные!$A$121:$V$124,16,FALSE)</f>
        <v>0</v>
      </c>
      <c r="H91" s="82" t="str">
        <f>IF(I91=0,"-","4,2x16")</f>
        <v>-</v>
      </c>
      <c r="I91" s="78">
        <f>VLOOKUP(H$14,Данные!$A$121:$V$124,16,FALSE)</f>
        <v>0</v>
      </c>
      <c r="J91" s="76">
        <f>IF(C91=0,0,IF(OR($A$20="Цинк 0,5",$A$20="Цинк 0,55"),C91*'Цены Жалюзи'!$C$224,C91*'Цены Жалюзи'!$C$225))</f>
        <v>0</v>
      </c>
      <c r="K91" s="76">
        <f>IF(E91=0,0,IF(OR($A$20="Цинк 0,5",$A$20="Цинк 0,55"),E91*'Цены Жалюзи'!$C$224,E91*'Цены Жалюзи'!$C$225))</f>
        <v>0</v>
      </c>
      <c r="L91" s="76">
        <f>IF(G91=0,0,IF(OR($A$20="Цинк 0,5",$A$20="Цинк 0,55"),G91*'Цены Жалюзи'!$C$224,G91*'Цены Жалюзи'!$C$225))</f>
        <v>0</v>
      </c>
      <c r="M91" s="76">
        <f>IF(I91=0,0,IF(OR($A$20="Цинк 0,5",$A$20="Цинк 0,55"),I91*'Цены Жалюзи'!$C$224,I91*'Цены Жалюзи'!$C$225))</f>
        <v>0</v>
      </c>
      <c r="O91" s="13"/>
    </row>
    <row r="92" spans="1:15" ht="16.5" customHeight="1">
      <c r="A92" s="101" t="s">
        <v>99</v>
      </c>
      <c r="B92" s="106"/>
      <c r="C92" s="107"/>
      <c r="D92" s="110"/>
      <c r="E92" s="107"/>
      <c r="F92" s="110"/>
      <c r="G92" s="107"/>
      <c r="H92" s="110"/>
      <c r="I92" s="106"/>
      <c r="J92" s="184"/>
      <c r="K92" s="75"/>
      <c r="L92" s="75"/>
      <c r="M92" s="75"/>
      <c r="O92" s="13"/>
    </row>
    <row r="93" spans="1:15" ht="16.5" customHeight="1">
      <c r="A93" s="67" t="s">
        <v>120</v>
      </c>
      <c r="B93" s="78" t="str">
        <f>IF($B$6="ламель 125",VLOOKUP(B$15,Данные!$A$129:$V$150,2,FALSE),0)</f>
        <v>-</v>
      </c>
      <c r="C93" s="88">
        <f>IF($B$6="ламель 125",VLOOKUP(B$15,Данные!$A$129:$V$150,3,FALSE),0)</f>
        <v>0</v>
      </c>
      <c r="D93" s="78" t="str">
        <f>IF($B$6="ламель 125",VLOOKUP(D$15,Данные!$A$129:$V$150,2,FALSE),0)</f>
        <v>-</v>
      </c>
      <c r="E93" s="88">
        <f>IF($B$6="ламель 125",VLOOKUP(D$15,Данные!$A$129:$V$150,3,FALSE),0)</f>
        <v>0</v>
      </c>
      <c r="F93" s="78" t="str">
        <f>IF($B$6="ламель 125",VLOOKUP(F$15,Данные!$A$129:$V$150,2,FALSE),0)</f>
        <v>-</v>
      </c>
      <c r="G93" s="88">
        <f>IF($B$6="ламель 125",VLOOKUP(F$15,Данные!$A$129:$V$150,3,FALSE),0)</f>
        <v>0</v>
      </c>
      <c r="H93" s="78" t="str">
        <f>IF($B$6="ламель 125",VLOOKUP(H$15,Данные!$A$129:$V$150,2,FALSE),0)</f>
        <v>-</v>
      </c>
      <c r="I93" s="78">
        <f>IF($B$6="ламель 125",VLOOKUP(H$15,Данные!$A$129:$V$150,3,FALSE),0)</f>
        <v>0</v>
      </c>
      <c r="J93" s="186">
        <f>IF(C93=0,0,VLOOKUP($A$20,'Цены Жалюзи'!$B$130:$P$154,2,FALSE)*B93*C93)</f>
        <v>0</v>
      </c>
      <c r="K93" s="76">
        <f>IF(E93=0,0,VLOOKUP($A$20,'Цены Жалюзи'!$B$130:$P$154,2,FALSE)*D93*E93)</f>
        <v>0</v>
      </c>
      <c r="L93" s="76">
        <f>IF(G93=0,0,VLOOKUP($A$20,'Цены Жалюзи'!$B$130:$P$154,2,FALSE)*F93*G93)</f>
        <v>0</v>
      </c>
      <c r="M93" s="76">
        <f>IF(I93=0,0,VLOOKUP($A$20,'Цены Жалюзи'!$B$130:$P$154,2,FALSE)*H93*I93)</f>
        <v>0</v>
      </c>
      <c r="O93" s="13"/>
    </row>
    <row r="94" spans="1:15" ht="16.5" customHeight="1">
      <c r="A94" s="67" t="s">
        <v>121</v>
      </c>
      <c r="B94" s="78" t="str">
        <f aca="true" t="shared" si="9" ref="B94:I94">B93</f>
        <v>-</v>
      </c>
      <c r="C94" s="88">
        <f t="shared" si="9"/>
        <v>0</v>
      </c>
      <c r="D94" s="78" t="str">
        <f t="shared" si="9"/>
        <v>-</v>
      </c>
      <c r="E94" s="88">
        <f t="shared" si="9"/>
        <v>0</v>
      </c>
      <c r="F94" s="78" t="str">
        <f t="shared" si="9"/>
        <v>-</v>
      </c>
      <c r="G94" s="88">
        <f t="shared" si="9"/>
        <v>0</v>
      </c>
      <c r="H94" s="78" t="str">
        <f t="shared" si="9"/>
        <v>-</v>
      </c>
      <c r="I94" s="78">
        <f t="shared" si="9"/>
        <v>0</v>
      </c>
      <c r="J94" s="186">
        <f>IF(C94=0,0,VLOOKUP($A$20,'Цены Жалюзи'!$B$130:$P$154,3,FALSE)*B94*C94)</f>
        <v>0</v>
      </c>
      <c r="K94" s="76">
        <f>IF(E94=0,0,VLOOKUP($A$20,'Цены Жалюзи'!$B$130:$P$154,3,FALSE)*D94*E94)</f>
        <v>0</v>
      </c>
      <c r="L94" s="76">
        <f>IF(G94=0,0,VLOOKUP($A$20,'Цены Жалюзи'!$B$130:$P$154,3,FALSE)*F94*G94)</f>
        <v>0</v>
      </c>
      <c r="M94" s="76">
        <f>IF(I94=0,0,VLOOKUP($A$20,'Цены Жалюзи'!$B$130:$P$154,3,FALSE)*H94*I94)</f>
        <v>0</v>
      </c>
      <c r="O94" s="13"/>
    </row>
    <row r="95" spans="1:15" ht="16.5" customHeight="1">
      <c r="A95" s="67" t="s">
        <v>361</v>
      </c>
      <c r="B95" s="78" t="str">
        <f>IF($B$6="ламель 125",VLOOKUP(B$15,Данные!$A$129:$V$150,4,FALSE),0)</f>
        <v>-</v>
      </c>
      <c r="C95" s="88">
        <f>IF($B$6="ламель 125",VLOOKUP(B$15,Данные!$A$129:$V$150,5,FALSE),0)</f>
        <v>0</v>
      </c>
      <c r="D95" s="78" t="str">
        <f>IF($B$6="ламель 125",VLOOKUP(D$15,Данные!$A$129:$V$150,4,FALSE),0)</f>
        <v>-</v>
      </c>
      <c r="E95" s="88">
        <f>IF($B$6="ламель 125",VLOOKUP(D$15,Данные!$A$129:$V$150,5,FALSE),0)</f>
        <v>0</v>
      </c>
      <c r="F95" s="78" t="str">
        <f>IF($B$6="ламель 125",VLOOKUP(F$15,Данные!$A$129:$V$150,4,FALSE),0)</f>
        <v>-</v>
      </c>
      <c r="G95" s="88">
        <f>IF($B$6="ламель 125",VLOOKUP(F$15,Данные!$A$129:$V$150,5,FALSE),0)</f>
        <v>0</v>
      </c>
      <c r="H95" s="78" t="str">
        <f>IF($B$6="ламель 125",VLOOKUP(H$15,Данные!$A$129:$V$150,4,FALSE),0)</f>
        <v>-</v>
      </c>
      <c r="I95" s="78">
        <f>IF($B$6="ламель 125",VLOOKUP(H$15,Данные!$A$129:$V$150,5,FALSE),0)</f>
        <v>0</v>
      </c>
      <c r="J95" s="186">
        <f>IF(C95=0,0,VLOOKUP($A$20,'Цены Жалюзи'!$B$188:$N$212,2,FALSE)*B95*C95)</f>
        <v>0</v>
      </c>
      <c r="K95" s="76">
        <f>IF(E95=0,0,VLOOKUP($A$20,'Цены Жалюзи'!$B$188:$N$212,2,FALSE)*D95*E95)</f>
        <v>0</v>
      </c>
      <c r="L95" s="76">
        <f>IF(G95=0,0,VLOOKUP($A$20,'Цены Жалюзи'!$B$188:$N$212,2,FALSE)*F95*G95)</f>
        <v>0</v>
      </c>
      <c r="M95" s="76">
        <f>IF(I95=0,0,VLOOKUP($A$20,'Цены Жалюзи'!$B$188:$N$212,2,FALSE)*H95*I95)</f>
        <v>0</v>
      </c>
      <c r="O95" s="13"/>
    </row>
    <row r="96" spans="1:15" ht="16.5" customHeight="1">
      <c r="A96" s="67" t="s">
        <v>328</v>
      </c>
      <c r="B96" s="78" t="str">
        <f aca="true" t="shared" si="10" ref="B96:I96">B95</f>
        <v>-</v>
      </c>
      <c r="C96" s="88">
        <f t="shared" si="10"/>
        <v>0</v>
      </c>
      <c r="D96" s="78" t="str">
        <f t="shared" si="10"/>
        <v>-</v>
      </c>
      <c r="E96" s="88">
        <f t="shared" si="10"/>
        <v>0</v>
      </c>
      <c r="F96" s="78" t="str">
        <f t="shared" si="10"/>
        <v>-</v>
      </c>
      <c r="G96" s="88">
        <f t="shared" si="10"/>
        <v>0</v>
      </c>
      <c r="H96" s="78" t="str">
        <f t="shared" si="10"/>
        <v>-</v>
      </c>
      <c r="I96" s="78">
        <f t="shared" si="10"/>
        <v>0</v>
      </c>
      <c r="J96" s="186">
        <f>IF(C96=0,0,VLOOKUP($A$20,'Цены Жалюзи'!$B$188:$N$212,3,FALSE)*B96*C96)</f>
        <v>0</v>
      </c>
      <c r="K96" s="76">
        <f>IF(E96=0,0,VLOOKUP($A$20,'Цены Жалюзи'!$B$188:$N$212,3,FALSE)*D96*E96)</f>
        <v>0</v>
      </c>
      <c r="L96" s="76">
        <f>IF(G96=0,0,VLOOKUP($A$20,'Цены Жалюзи'!$B$188:$N$212,3,FALSE)*F96*G96)</f>
        <v>0</v>
      </c>
      <c r="M96" s="76">
        <f>IF(I96=0,0,VLOOKUP($A$20,'Цены Жалюзи'!$B$188:$N$212,3,FALSE)*H96*I96)</f>
        <v>0</v>
      </c>
      <c r="O96" s="13"/>
    </row>
    <row r="97" spans="1:15" ht="16.5" customHeight="1">
      <c r="A97" s="67" t="s">
        <v>122</v>
      </c>
      <c r="B97" s="78">
        <f>IF($B$6="ламель 150",VLOOKUP(B$15,Данные!$A$129:$V$150,6,FALSE),0)</f>
        <v>0</v>
      </c>
      <c r="C97" s="88">
        <f>IF($B$6="ламель 150",VLOOKUP(B$15,Данные!$A$129:$V$150,7,FALSE),0)</f>
        <v>0</v>
      </c>
      <c r="D97" s="78">
        <f>IF($B$6="ламель 150",VLOOKUP(D$15,Данные!$A$129:$V$150,6,FALSE),0)</f>
        <v>0</v>
      </c>
      <c r="E97" s="88">
        <f>IF($B$6="ламель 150",VLOOKUP(D$15,Данные!$A$129:$V$150,7,FALSE),0)</f>
        <v>0</v>
      </c>
      <c r="F97" s="78">
        <f>IF($B$6="ламель 150",VLOOKUP(F$15,Данные!$A$129:$V$150,6,FALSE),0)</f>
        <v>0</v>
      </c>
      <c r="G97" s="88">
        <f>IF($B$6="ламель 150",VLOOKUP(F$15,Данные!$A$129:$V$150,7,FALSE),0)</f>
        <v>0</v>
      </c>
      <c r="H97" s="78">
        <f>IF($B$6="ламель 150",VLOOKUP(H$15,Данные!$A$129:$V$150,6,FALSE),0)</f>
        <v>0</v>
      </c>
      <c r="I97" s="78">
        <f>IF($B$6="ламель 150",VLOOKUP(H$15,Данные!$A$129:$V$150,7,FALSE),0)</f>
        <v>0</v>
      </c>
      <c r="J97" s="186">
        <f>IF(C97=0,0,VLOOKUP($A$20,'Цены Жалюзи'!$B$130:$P$154,4,FALSE)*B97*C97)</f>
        <v>0</v>
      </c>
      <c r="K97" s="76">
        <f>IF(E97=0,0,VLOOKUP($A$20,'Цены Жалюзи'!$B$130:$P$154,4,FALSE)*D97*E97)</f>
        <v>0</v>
      </c>
      <c r="L97" s="76">
        <f>IF(G97=0,0,VLOOKUP($A$20,'Цены Жалюзи'!$B$130:$P$154,4,FALSE)*F97*G97)</f>
        <v>0</v>
      </c>
      <c r="M97" s="76">
        <f>IF(I97=0,0,VLOOKUP($A$20,'Цены Жалюзи'!$B$130:$P$154,4,FALSE)*H97*I97)</f>
        <v>0</v>
      </c>
      <c r="O97" s="13"/>
    </row>
    <row r="98" spans="1:15" ht="16.5" customHeight="1">
      <c r="A98" s="67" t="s">
        <v>123</v>
      </c>
      <c r="B98" s="78">
        <f aca="true" t="shared" si="11" ref="B98:I98">B97</f>
        <v>0</v>
      </c>
      <c r="C98" s="88">
        <f t="shared" si="11"/>
        <v>0</v>
      </c>
      <c r="D98" s="78">
        <f t="shared" si="11"/>
        <v>0</v>
      </c>
      <c r="E98" s="88">
        <f t="shared" si="11"/>
        <v>0</v>
      </c>
      <c r="F98" s="78">
        <f t="shared" si="11"/>
        <v>0</v>
      </c>
      <c r="G98" s="88">
        <f t="shared" si="11"/>
        <v>0</v>
      </c>
      <c r="H98" s="78">
        <f t="shared" si="11"/>
        <v>0</v>
      </c>
      <c r="I98" s="78">
        <f t="shared" si="11"/>
        <v>0</v>
      </c>
      <c r="J98" s="186">
        <f>IF(C98=0,0,VLOOKUP($A$20,'Цены Жалюзи'!$B$130:$P$154,5,FALSE)*B98*C98)</f>
        <v>0</v>
      </c>
      <c r="K98" s="76">
        <f>IF(E98=0,0,VLOOKUP($A$20,'Цены Жалюзи'!$B$130:$P$154,5,FALSE)*D98*E98)</f>
        <v>0</v>
      </c>
      <c r="L98" s="76">
        <f>IF(G98=0,0,VLOOKUP($A$20,'Цены Жалюзи'!$B$130:$P$154,5,FALSE)*F98*G98)</f>
        <v>0</v>
      </c>
      <c r="M98" s="76">
        <f>IF(I98=0,0,VLOOKUP($A$20,'Цены Жалюзи'!$B$130:$P$154,5,FALSE)*H98*I98)</f>
        <v>0</v>
      </c>
      <c r="O98" s="13"/>
    </row>
    <row r="99" spans="1:15" ht="16.5" customHeight="1">
      <c r="A99" s="67" t="s">
        <v>362</v>
      </c>
      <c r="B99" s="78">
        <f>IF($B$6="ламель 150",VLOOKUP(B$15,Данные!$A$129:$V$150,8,FALSE),0)</f>
        <v>0</v>
      </c>
      <c r="C99" s="88">
        <f>IF($B$6="ламель 150",VLOOKUP(B$15,Данные!$A$129:$V$150,9,FALSE),0)</f>
        <v>0</v>
      </c>
      <c r="D99" s="78">
        <f>IF($B$6="ламель 150",VLOOKUP(D$15,Данные!$A$129:$V$150,8,FALSE),0)</f>
        <v>0</v>
      </c>
      <c r="E99" s="88">
        <f>IF($B$6="ламель 150",VLOOKUP(D$15,Данные!$A$129:$V$150,9,FALSE),0)</f>
        <v>0</v>
      </c>
      <c r="F99" s="78">
        <f>IF($B$6="ламель 150",VLOOKUP(F$15,Данные!$A$129:$V$150,8,FALSE),0)</f>
        <v>0</v>
      </c>
      <c r="G99" s="88">
        <f>IF($B$6="ламель 150",VLOOKUP(F$15,Данные!$A$129:$V$150,9,FALSE),0)</f>
        <v>0</v>
      </c>
      <c r="H99" s="78">
        <f>IF($B$6="ламель 150",VLOOKUP(H$15,Данные!$A$129:$V$150,8,FALSE),0)</f>
        <v>0</v>
      </c>
      <c r="I99" s="78">
        <f>IF($B$6="ламель 150",VLOOKUP(H$15,Данные!$A$129:$V$150,9,FALSE),0)</f>
        <v>0</v>
      </c>
      <c r="J99" s="186">
        <f>IF(C99=0,0,VLOOKUP($A$20,'Цены Жалюзи'!$B$188:$N$212,4,FALSE)*B99*C99)</f>
        <v>0</v>
      </c>
      <c r="K99" s="76">
        <f>IF(E99=0,0,VLOOKUP($A$20,'Цены Жалюзи'!$B$188:$N$212,4,FALSE)*D99*E99)</f>
        <v>0</v>
      </c>
      <c r="L99" s="76">
        <f>IF(G99=0,0,VLOOKUP($A$20,'Цены Жалюзи'!$B$188:$N$212,4,FALSE)*F99*G99)</f>
        <v>0</v>
      </c>
      <c r="M99" s="76">
        <f>IF(I99=0,0,VLOOKUP($A$20,'Цены Жалюзи'!$B$188:$N$212,4,FALSE)*H99*I99)</f>
        <v>0</v>
      </c>
      <c r="O99" s="13"/>
    </row>
    <row r="100" spans="1:15" ht="16.5" customHeight="1">
      <c r="A100" s="67" t="s">
        <v>363</v>
      </c>
      <c r="B100" s="78">
        <f aca="true" t="shared" si="12" ref="B100:I100">B99</f>
        <v>0</v>
      </c>
      <c r="C100" s="88">
        <f t="shared" si="12"/>
        <v>0</v>
      </c>
      <c r="D100" s="78">
        <f t="shared" si="12"/>
        <v>0</v>
      </c>
      <c r="E100" s="88">
        <f t="shared" si="12"/>
        <v>0</v>
      </c>
      <c r="F100" s="78">
        <f t="shared" si="12"/>
        <v>0</v>
      </c>
      <c r="G100" s="88">
        <f t="shared" si="12"/>
        <v>0</v>
      </c>
      <c r="H100" s="78">
        <f t="shared" si="12"/>
        <v>0</v>
      </c>
      <c r="I100" s="78">
        <f t="shared" si="12"/>
        <v>0</v>
      </c>
      <c r="J100" s="186">
        <f>IF(C100=0,0,VLOOKUP($A$20,'Цены Жалюзи'!$B$188:$N$212,5,FALSE)*B100*C100)</f>
        <v>0</v>
      </c>
      <c r="K100" s="76">
        <f>IF(E100=0,0,VLOOKUP($A$20,'Цены Жалюзи'!$B$188:$N$212,5,FALSE)*D100*E100)</f>
        <v>0</v>
      </c>
      <c r="L100" s="76">
        <f>IF(G100=0,0,VLOOKUP($A$20,'Цены Жалюзи'!$B$188:$N$212,5,FALSE)*F100*G100)</f>
        <v>0</v>
      </c>
      <c r="M100" s="76">
        <f>IF(I100=0,0,VLOOKUP($A$20,'Цены Жалюзи'!$B$188:$N$212,5,FALSE)*H100*I100)</f>
        <v>0</v>
      </c>
      <c r="O100" s="13"/>
    </row>
    <row r="101" spans="1:15" ht="16.5" customHeight="1">
      <c r="A101" s="67" t="s">
        <v>124</v>
      </c>
      <c r="B101" s="78" t="str">
        <f>IF($B$6="ламель 125",VLOOKUP(B$15,Данные!$A$129:$V$150,12,FALSE),0)</f>
        <v>-</v>
      </c>
      <c r="C101" s="88">
        <f>IF(AND($B$6="ламель 125",NOT(B$15="нет")),2,0)</f>
        <v>0</v>
      </c>
      <c r="D101" s="78" t="str">
        <f>IF($B$6="ламель 125",VLOOKUP(D$15,Данные!$A$129:$V$150,12,FALSE),0)</f>
        <v>-</v>
      </c>
      <c r="E101" s="88">
        <f>IF(AND($B$6="ламель 125",NOT(D$15="нет")),2,0)</f>
        <v>0</v>
      </c>
      <c r="F101" s="78" t="str">
        <f>IF($B$6="ламель 125",VLOOKUP(F$15,Данные!$A$129:$V$150,12,FALSE),0)</f>
        <v>-</v>
      </c>
      <c r="G101" s="88">
        <f>IF(AND($B$6="ламель 125",NOT(F$15="нет")),2,0)</f>
        <v>0</v>
      </c>
      <c r="H101" s="78" t="str">
        <f>IF($B$6="ламель 125",VLOOKUP(H$15,Данные!$A$129:$V$150,12,FALSE),0)</f>
        <v>-</v>
      </c>
      <c r="I101" s="78">
        <f>IF(AND($B$6="ламель 125",NOT(H$15="нет")),2,0)</f>
        <v>0</v>
      </c>
      <c r="J101" s="186">
        <f>IF(C101=0,0,VLOOKUP($A$20,'Цены Жалюзи'!$B$130:$P$154,6,FALSE)*B101*C101)</f>
        <v>0</v>
      </c>
      <c r="K101" s="76">
        <f>IF(E101=0,0,VLOOKUP($A$20,'Цены Жалюзи'!$B$130:$P$154,6,FALSE)*D101*E101)</f>
        <v>0</v>
      </c>
      <c r="L101" s="76">
        <f>IF(G101=0,0,VLOOKUP($A$20,'Цены Жалюзи'!$B$130:$P$154,6,FALSE)*F101*G101)</f>
        <v>0</v>
      </c>
      <c r="M101" s="76">
        <f>IF(I101=0,0,VLOOKUP($A$20,'Цены Жалюзи'!$B$130:$P$154,6,FALSE)*H101*I101)</f>
        <v>0</v>
      </c>
      <c r="O101" s="13"/>
    </row>
    <row r="102" spans="1:15" ht="16.5" customHeight="1">
      <c r="A102" s="67" t="s">
        <v>125</v>
      </c>
      <c r="B102" s="78">
        <f>IF($B$6="ламель 150",VLOOKUP(B$15,Данные!$A$129:$V$150,13,FALSE),0)</f>
        <v>0</v>
      </c>
      <c r="C102" s="88">
        <f>IF(AND($B$6="ламель 150",NOT(B$15="нет")),2,0)</f>
        <v>0</v>
      </c>
      <c r="D102" s="78">
        <f>IF($B$6="ламель 150",VLOOKUP(D$15,Данные!$A$129:$V$150,13,FALSE),0)</f>
        <v>0</v>
      </c>
      <c r="E102" s="88">
        <f>IF(AND($B$6="ламель 150",NOT(D$15="нет")),2,0)</f>
        <v>0</v>
      </c>
      <c r="F102" s="78">
        <f>IF($B$6="ламель 150",VLOOKUP(F$15,Данные!$A$129:$V$150,13,FALSE),0)</f>
        <v>0</v>
      </c>
      <c r="G102" s="88">
        <f>IF(AND($B$6="ламель 150",NOT(F$15="нет")),2,0)</f>
        <v>0</v>
      </c>
      <c r="H102" s="78">
        <f>IF($B$6="ламель 150",VLOOKUP(H$15,Данные!$A$129:$V$150,13,FALSE),0)</f>
        <v>0</v>
      </c>
      <c r="I102" s="78">
        <f>IF(AND($B$6="ламель 150",NOT(H$15="нет")),2,0)</f>
        <v>0</v>
      </c>
      <c r="J102" s="186">
        <f>IF(C102=0,0,VLOOKUP($A$20,'Цены Жалюзи'!$B$130:$P$154,7,FALSE)*B102*C102)</f>
        <v>0</v>
      </c>
      <c r="K102" s="76">
        <f>IF(E102=0,0,VLOOKUP($A$20,'Цены Жалюзи'!$B$130:$P$154,7,FALSE)*D102*E102)</f>
        <v>0</v>
      </c>
      <c r="L102" s="76">
        <f>IF(G102=0,0,VLOOKUP($A$20,'Цены Жалюзи'!$B$130:$P$154,7,FALSE)*F102*G102)</f>
        <v>0</v>
      </c>
      <c r="M102" s="76">
        <f>IF(I102=0,0,VLOOKUP($A$20,'Цены Жалюзи'!$B$130:$P$154,7,FALSE)*H102*I102)</f>
        <v>0</v>
      </c>
      <c r="O102" s="13"/>
    </row>
    <row r="103" spans="1:15" ht="16.5" customHeight="1">
      <c r="A103" s="67" t="s">
        <v>145</v>
      </c>
      <c r="B103" s="78" t="str">
        <f>IF($B$6="ламель 125",VLOOKUP(B$15,Данные!$A$129:$V$150,10,FALSE),VLOOKUP(B$15,Данные!$A$129:$V$150,11,FALSE))</f>
        <v>-</v>
      </c>
      <c r="C103" s="88">
        <f>IF(NOT(B$15="нет"),4,0)</f>
        <v>0</v>
      </c>
      <c r="D103" s="78" t="str">
        <f>IF($B$6="ламель 125",VLOOKUP(D$15,Данные!$A$129:$V$150,10,FALSE),VLOOKUP(D$15,Данные!$A$129:$V$150,11,FALSE))</f>
        <v>-</v>
      </c>
      <c r="E103" s="88">
        <f>IF(NOT(D$15="нет"),4,0)</f>
        <v>0</v>
      </c>
      <c r="F103" s="78" t="str">
        <f>IF($B$6="ламель 125",VLOOKUP(F$15,Данные!$A$129:$V$150,10,FALSE),VLOOKUP(F$15,Данные!$A$129:$V$150,11,FALSE))</f>
        <v>-</v>
      </c>
      <c r="G103" s="88">
        <f>IF(NOT(F$15="нет"),4,0)</f>
        <v>0</v>
      </c>
      <c r="H103" s="78" t="str">
        <f>IF($B$6="ламель 125",VLOOKUP(H$15,Данные!$A$129:$V$150,10,FALSE),VLOOKUP(H$15,Данные!$A$129:$V$150,11,FALSE))</f>
        <v>-</v>
      </c>
      <c r="I103" s="78">
        <f>IF(NOT(H$15="нет"),4,0)</f>
        <v>0</v>
      </c>
      <c r="J103" s="186">
        <f>IF(C103=0,0,VLOOKUP($A$20,'Цены Жалюзи'!$B$188:$N$212,6,FALSE)*B103*C103)</f>
        <v>0</v>
      </c>
      <c r="K103" s="76">
        <f>IF(E103=0,0,VLOOKUP($A$20,'Цены Жалюзи'!$B$188:$N$212,6,FALSE)*D103*E103)</f>
        <v>0</v>
      </c>
      <c r="L103" s="76">
        <f>IF(G103=0,0,VLOOKUP($A$20,'Цены Жалюзи'!$B$188:$N$212,6,FALSE)*F103*G103)</f>
        <v>0</v>
      </c>
      <c r="M103" s="76">
        <f>IF(I103=0,0,VLOOKUP($A$20,'Цены Жалюзи'!$B$188:$N$212,6,FALSE)*H103*I103)</f>
        <v>0</v>
      </c>
      <c r="O103" s="13"/>
    </row>
    <row r="104" spans="1:15" ht="16.5" customHeight="1">
      <c r="A104" s="67" t="s">
        <v>168</v>
      </c>
      <c r="B104" s="78" t="s">
        <v>28</v>
      </c>
      <c r="C104" s="88">
        <f>IF($B$6="ламель 125",VLOOKUP(B$15,Данные!$A$129:$V$150,17,FALSE),0)</f>
        <v>0</v>
      </c>
      <c r="D104" s="78" t="s">
        <v>28</v>
      </c>
      <c r="E104" s="88">
        <f>IF($B$6="ламель 125",VLOOKUP(D$15,Данные!$A$129:$V$150,17,FALSE),0)</f>
        <v>0</v>
      </c>
      <c r="F104" s="78" t="s">
        <v>28</v>
      </c>
      <c r="G104" s="88">
        <f>IF($B$6="ламель 125",VLOOKUP(F$15,Данные!$A$129:$V$150,17,FALSE),0)</f>
        <v>0</v>
      </c>
      <c r="H104" s="78" t="s">
        <v>28</v>
      </c>
      <c r="I104" s="78">
        <f>IF($B$6="ламель 125",VLOOKUP(H$15,Данные!$A$129:$V$150,17,FALSE),0)</f>
        <v>0</v>
      </c>
      <c r="J104" s="186">
        <f>IF(C104=0,0,VLOOKUP($A$20,'Цены Жалюзи'!$B$188:$N$212,7,FALSE)*C104)</f>
        <v>0</v>
      </c>
      <c r="K104" s="76">
        <f>IF(E104=0,0,VLOOKUP($A$20,'Цены Жалюзи'!$B$188:$N$212,7,FALSE)*E104)</f>
        <v>0</v>
      </c>
      <c r="L104" s="76">
        <f>IF(G104=0,0,VLOOKUP($A$20,'Цены Жалюзи'!$B$188:$N$212,7,FALSE)*G104)</f>
        <v>0</v>
      </c>
      <c r="M104" s="76">
        <f>IF(I104=0,0,VLOOKUP($A$20,'Цены Жалюзи'!$B$188:$N$212,7,FALSE)*I104)</f>
        <v>0</v>
      </c>
      <c r="O104" s="13"/>
    </row>
    <row r="105" spans="1:15" ht="16.5" customHeight="1">
      <c r="A105" s="67" t="s">
        <v>169</v>
      </c>
      <c r="B105" s="78" t="s">
        <v>28</v>
      </c>
      <c r="C105" s="88">
        <f>IF($B$6="ламель 125",VLOOKUP(B$15,Данные!$A$129:$V$150,18,FALSE),0)</f>
        <v>0</v>
      </c>
      <c r="D105" s="78" t="s">
        <v>28</v>
      </c>
      <c r="E105" s="88">
        <f>IF($B$6="ламель 125",VLOOKUP(D$15,Данные!$A$129:$V$150,18,FALSE),0)</f>
        <v>0</v>
      </c>
      <c r="F105" s="78" t="s">
        <v>28</v>
      </c>
      <c r="G105" s="88">
        <f>IF($B$6="ламель 125",VLOOKUP(F$15,Данные!$A$129:$V$150,18,FALSE),0)</f>
        <v>0</v>
      </c>
      <c r="H105" s="78" t="s">
        <v>28</v>
      </c>
      <c r="I105" s="78">
        <f>IF($B$6="ламель 125",VLOOKUP(H$15,Данные!$A$129:$V$150,18,FALSE),0)</f>
        <v>0</v>
      </c>
      <c r="J105" s="186">
        <f>IF(C105=0,0,VLOOKUP($A$20,'Цены Жалюзи'!$B$188:$N$212,8,FALSE)*C105)</f>
        <v>0</v>
      </c>
      <c r="K105" s="76">
        <f>IF(E105=0,0,VLOOKUP($A$20,'Цены Жалюзи'!$B$188:$N$212,8,FALSE)*E105)</f>
        <v>0</v>
      </c>
      <c r="L105" s="76">
        <f>IF(G105=0,0,VLOOKUP($A$20,'Цены Жалюзи'!$B$188:$N$212,8,FALSE)*G105)</f>
        <v>0</v>
      </c>
      <c r="M105" s="76">
        <f>IF(I105=0,0,VLOOKUP($A$20,'Цены Жалюзи'!$B$188:$N$212,8,FALSE)*I105)</f>
        <v>0</v>
      </c>
      <c r="O105" s="13"/>
    </row>
    <row r="106" spans="1:15" ht="16.5" customHeight="1">
      <c r="A106" s="67" t="s">
        <v>170</v>
      </c>
      <c r="B106" s="78" t="s">
        <v>28</v>
      </c>
      <c r="C106" s="88">
        <f>IF($B$6="ламель 125",VLOOKUP(B$15,Данные!$A$129:$V$150,19,FALSE),0)</f>
        <v>0</v>
      </c>
      <c r="D106" s="78" t="s">
        <v>28</v>
      </c>
      <c r="E106" s="88">
        <f>IF($B$6="ламель 125",VLOOKUP(D$15,Данные!$A$129:$V$150,19,FALSE),0)</f>
        <v>0</v>
      </c>
      <c r="F106" s="78" t="s">
        <v>28</v>
      </c>
      <c r="G106" s="88">
        <f>IF($B$6="ламель 125",VLOOKUP(F$15,Данные!$A$129:$V$150,19,FALSE),0)</f>
        <v>0</v>
      </c>
      <c r="H106" s="78" t="s">
        <v>28</v>
      </c>
      <c r="I106" s="78">
        <f>IF($B$6="ламель 125",VLOOKUP(H$15,Данные!$A$129:$V$150,19,FALSE),0)</f>
        <v>0</v>
      </c>
      <c r="J106" s="186">
        <f>IF(C106=0,0,VLOOKUP($A$20,'Цены Жалюзи'!$B$188:$N$212,9,FALSE)*C106)</f>
        <v>0</v>
      </c>
      <c r="K106" s="76">
        <f>IF(E106=0,0,VLOOKUP($A$20,'Цены Жалюзи'!$B$188:$N$212,9,FALSE)*E106)</f>
        <v>0</v>
      </c>
      <c r="L106" s="76">
        <f>IF(G106=0,0,VLOOKUP($A$20,'Цены Жалюзи'!$B$188:$N$212,9,FALSE)*G106)</f>
        <v>0</v>
      </c>
      <c r="M106" s="76">
        <f>IF(I106=0,0,VLOOKUP($A$20,'Цены Жалюзи'!$B$188:$N$212,9,FALSE)*I106)</f>
        <v>0</v>
      </c>
      <c r="O106" s="13"/>
    </row>
    <row r="107" spans="1:15" ht="16.5" customHeight="1">
      <c r="A107" s="67" t="s">
        <v>171</v>
      </c>
      <c r="B107" s="78" t="s">
        <v>28</v>
      </c>
      <c r="C107" s="88">
        <f>IF($B$6="ламель 150",VLOOKUP(B$15,Данные!$A$129:$V$150,20,FALSE),0)</f>
        <v>0</v>
      </c>
      <c r="D107" s="78" t="s">
        <v>28</v>
      </c>
      <c r="E107" s="88">
        <f>IF($B$6="ламель 150",VLOOKUP(D$15,Данные!$A$129:$V$150,20,FALSE),0)</f>
        <v>0</v>
      </c>
      <c r="F107" s="78" t="s">
        <v>28</v>
      </c>
      <c r="G107" s="88">
        <f>IF($B$6="ламель 150",VLOOKUP(F$15,Данные!$A$129:$V$150,20,FALSE),0)</f>
        <v>0</v>
      </c>
      <c r="H107" s="78" t="s">
        <v>28</v>
      </c>
      <c r="I107" s="78">
        <f>IF($B$6="ламель 150",VLOOKUP(H$15,Данные!$A$129:$V$150,20,FALSE),0)</f>
        <v>0</v>
      </c>
      <c r="J107" s="186">
        <f>IF(C107=0,0,VLOOKUP($A$20,'Цены Жалюзи'!$B$188:$N$212,10,FALSE)*C107)</f>
        <v>0</v>
      </c>
      <c r="K107" s="76">
        <f>IF(E107=0,0,VLOOKUP($A$20,'Цены Жалюзи'!$B$188:$N$212,10,FALSE)*E107)</f>
        <v>0</v>
      </c>
      <c r="L107" s="76">
        <f>IF(G107=0,0,VLOOKUP($A$20,'Цены Жалюзи'!$B$188:$N$212,10,FALSE)*G107)</f>
        <v>0</v>
      </c>
      <c r="M107" s="76">
        <f>IF(I107=0,0,VLOOKUP($A$20,'Цены Жалюзи'!$B$188:$N$212,10,FALSE)*I107)</f>
        <v>0</v>
      </c>
      <c r="O107" s="13"/>
    </row>
    <row r="108" spans="1:15" ht="16.5" customHeight="1">
      <c r="A108" s="67" t="s">
        <v>172</v>
      </c>
      <c r="B108" s="78" t="s">
        <v>28</v>
      </c>
      <c r="C108" s="88">
        <f>IF($B$6="ламель 150",VLOOKUP(B$15,Данные!$A$129:$V$150,21,FALSE),0)</f>
        <v>0</v>
      </c>
      <c r="D108" s="78" t="s">
        <v>28</v>
      </c>
      <c r="E108" s="88">
        <f>IF($B$6="ламель 150",VLOOKUP(D$15,Данные!$A$129:$V$150,21,FALSE),0)</f>
        <v>0</v>
      </c>
      <c r="F108" s="78" t="s">
        <v>28</v>
      </c>
      <c r="G108" s="88">
        <f>IF($B$6="ламель 150",VLOOKUP(F$15,Данные!$A$129:$V$150,21,FALSE),0)</f>
        <v>0</v>
      </c>
      <c r="H108" s="78" t="s">
        <v>28</v>
      </c>
      <c r="I108" s="78">
        <f>IF($B$6="ламель 150",VLOOKUP(H$15,Данные!$A$129:$V$150,21,FALSE),0)</f>
        <v>0</v>
      </c>
      <c r="J108" s="186">
        <f>IF(C108=0,0,VLOOKUP($A$20,'Цены Жалюзи'!$B$188:$N$212,11,FALSE)*C108)</f>
        <v>0</v>
      </c>
      <c r="K108" s="76">
        <f>IF(E108=0,0,VLOOKUP($A$20,'Цены Жалюзи'!$B$188:$N$212,11,FALSE)*E108)</f>
        <v>0</v>
      </c>
      <c r="L108" s="76">
        <f>IF(G108=0,0,VLOOKUP($A$20,'Цены Жалюзи'!$B$188:$N$212,11,FALSE)*G108)</f>
        <v>0</v>
      </c>
      <c r="M108" s="76">
        <f>IF(I108=0,0,VLOOKUP($A$20,'Цены Жалюзи'!$B$188:$N$212,11,FALSE)*I108)</f>
        <v>0</v>
      </c>
      <c r="O108" s="13"/>
    </row>
    <row r="109" spans="1:15" ht="16.5" customHeight="1">
      <c r="A109" s="67" t="s">
        <v>173</v>
      </c>
      <c r="B109" s="78" t="s">
        <v>28</v>
      </c>
      <c r="C109" s="88">
        <f>IF($B$6="ламель 150",VLOOKUP(B$15,Данные!$A$129:$V$150,22,FALSE),0)</f>
        <v>0</v>
      </c>
      <c r="D109" s="78" t="s">
        <v>28</v>
      </c>
      <c r="E109" s="88">
        <f>IF($B$6="ламель 150",VLOOKUP(D$15,Данные!$A$129:$V$150,22,FALSE),0)</f>
        <v>0</v>
      </c>
      <c r="F109" s="78" t="s">
        <v>28</v>
      </c>
      <c r="G109" s="88">
        <f>IF($B$6="ламель 150",VLOOKUP(F$15,Данные!$A$129:$V$150,22,FALSE),0)</f>
        <v>0</v>
      </c>
      <c r="H109" s="78" t="s">
        <v>28</v>
      </c>
      <c r="I109" s="78">
        <f>IF($B$6="ламель 150",VLOOKUP(H$15,Данные!$A$129:$V$150,22,FALSE),0)</f>
        <v>0</v>
      </c>
      <c r="J109" s="186">
        <f>IF(C109=0,0,VLOOKUP($A$20,'Цены Жалюзи'!$B$188:$N$212,12,FALSE)*C109)</f>
        <v>0</v>
      </c>
      <c r="K109" s="76">
        <f>IF(E109=0,0,VLOOKUP($A$20,'Цены Жалюзи'!$B$188:$N$212,12,FALSE)*E109)</f>
        <v>0</v>
      </c>
      <c r="L109" s="76">
        <f>IF(G109=0,0,VLOOKUP($A$20,'Цены Жалюзи'!$B$188:$N$212,12,FALSE)*G109)</f>
        <v>0</v>
      </c>
      <c r="M109" s="76">
        <f>IF(I109=0,0,VLOOKUP($A$20,'Цены Жалюзи'!$B$188:$N$212,12,FALSE)*I109)</f>
        <v>0</v>
      </c>
      <c r="O109" s="13"/>
    </row>
    <row r="110" spans="1:34" ht="16.5" customHeight="1">
      <c r="A110" s="67" t="s">
        <v>277</v>
      </c>
      <c r="B110" s="82" t="str">
        <f>IF(C110=0,"-","4,0х10")</f>
        <v>-</v>
      </c>
      <c r="C110" s="88">
        <f>IF($B$6="ламель 125",VLOOKUP(B$15,Данные!$A$129:$V$150,14,FALSE),VLOOKUP(B$15,Данные!$A$129:$V$150,15,FALSE))</f>
        <v>0</v>
      </c>
      <c r="D110" s="82" t="str">
        <f>IF(E110=0,"-","4,0х10")</f>
        <v>-</v>
      </c>
      <c r="E110" s="88">
        <f>IF($B$6="ламель 125",VLOOKUP(D$15,Данные!$A$129:$V$150,14,FALSE),VLOOKUP(D$15,Данные!$A$129:$V$150,15,FALSE))</f>
        <v>0</v>
      </c>
      <c r="F110" s="82" t="str">
        <f>IF(G110=0,"-","4,0х10")</f>
        <v>-</v>
      </c>
      <c r="G110" s="88">
        <f>IF($B$6="ламель 125",VLOOKUP(F$15,Данные!$A$129:$V$150,14,FALSE),VLOOKUP(F$15,Данные!$A$129:$V$150,15,FALSE))</f>
        <v>0</v>
      </c>
      <c r="H110" s="82" t="str">
        <f>IF(I110=0,"-","4,0х10")</f>
        <v>-</v>
      </c>
      <c r="I110" s="78">
        <f>IF($B$6="ламель 125",VLOOKUP(H$15,Данные!$A$129:$V$150,14,FALSE),VLOOKUP(H$15,Данные!$A$129:$V$150,15,FALSE))</f>
        <v>0</v>
      </c>
      <c r="J110" s="76">
        <f>IF(C110=0,0,C110*'Цены Жалюзи'!$C$228)</f>
        <v>0</v>
      </c>
      <c r="K110" s="76">
        <f>IF(E110=0,0,E110*'Цены Жалюзи'!$C$228)</f>
        <v>0</v>
      </c>
      <c r="L110" s="76">
        <f>IF(G110=0,0,G110*'Цены Жалюзи'!$C$228)</f>
        <v>0</v>
      </c>
      <c r="M110" s="76">
        <f>IF(I110=0,0,I110*'Цены Жалюзи'!$C$228)</f>
        <v>0</v>
      </c>
      <c r="O110" s="13"/>
      <c r="V110" s="14"/>
      <c r="W110" s="6"/>
      <c r="X110" s="6"/>
      <c r="Y110" s="6"/>
      <c r="Z110" s="6"/>
      <c r="AA110" s="6"/>
      <c r="AB110" s="6"/>
      <c r="AC110" s="6"/>
      <c r="AD110" s="16"/>
      <c r="AE110" s="13"/>
      <c r="AF110" s="17"/>
      <c r="AG110" s="17"/>
      <c r="AH110" s="17"/>
    </row>
    <row r="111" spans="1:34" ht="16.5" customHeight="1">
      <c r="A111" s="53" t="s">
        <v>129</v>
      </c>
      <c r="B111" s="82" t="str">
        <f>IF(C111=0,"-","4,2x16")</f>
        <v>-</v>
      </c>
      <c r="C111" s="88">
        <f>VLOOKUP(B$15,Данные!$A$129:$V$150,16,FALSE)</f>
        <v>0</v>
      </c>
      <c r="D111" s="82" t="str">
        <f>IF(E111=0,"-","4,2x16")</f>
        <v>-</v>
      </c>
      <c r="E111" s="88">
        <f>VLOOKUP(D$15,Данные!$A$129:$V$150,16,FALSE)</f>
        <v>0</v>
      </c>
      <c r="F111" s="82" t="str">
        <f>IF(G111=0,"-","4,2x16")</f>
        <v>-</v>
      </c>
      <c r="G111" s="88">
        <f>VLOOKUP(F$15,Данные!$A$129:$V$150,16,FALSE)</f>
        <v>0</v>
      </c>
      <c r="H111" s="82" t="str">
        <f>IF(I111=0,"-","4,2x16")</f>
        <v>-</v>
      </c>
      <c r="I111" s="78">
        <f>VLOOKUP(H$15,Данные!$A$129:$V$150,16,FALSE)</f>
        <v>0</v>
      </c>
      <c r="J111" s="76">
        <f>IF(C111=0,0,IF(OR($A$20="Цинк 0,5",$A$20="Цинк 0,55"),C111*'Цены Жалюзи'!$C$224,C111*'Цены Жалюзи'!$C$225))</f>
        <v>0</v>
      </c>
      <c r="K111" s="76">
        <f>IF(E111=0,0,IF(OR($A$20="Цинк 0,5",$A$20="Цинк 0,55"),E111*'Цены Жалюзи'!$C$224,E111*'Цены Жалюзи'!$C$225))</f>
        <v>0</v>
      </c>
      <c r="L111" s="76">
        <f>IF(G111=0,0,IF(OR($A$20="Цинк 0,5",$A$20="Цинк 0,55"),G111*'Цены Жалюзи'!$C$224,G111*'Цены Жалюзи'!$C$225))</f>
        <v>0</v>
      </c>
      <c r="M111" s="76">
        <f>IF(I111=0,0,IF(OR($A$20="Цинк 0,5",$A$20="Цинк 0,55"),I111*'Цены Жалюзи'!$C$224,I111*'Цены Жалюзи'!$C$225))</f>
        <v>0</v>
      </c>
      <c r="O111" s="13"/>
      <c r="V111" s="14"/>
      <c r="W111" s="6"/>
      <c r="X111" s="6"/>
      <c r="Y111" s="6"/>
      <c r="Z111" s="6"/>
      <c r="AA111" s="6"/>
      <c r="AB111" s="6"/>
      <c r="AC111" s="6"/>
      <c r="AD111" s="16"/>
      <c r="AE111" s="13"/>
      <c r="AF111" s="17"/>
      <c r="AG111" s="17"/>
      <c r="AH111" s="17"/>
    </row>
    <row r="112" spans="1:15" ht="12.75" customHeight="1">
      <c r="A112" s="101" t="s">
        <v>274</v>
      </c>
      <c r="B112" s="106"/>
      <c r="C112" s="107"/>
      <c r="D112" s="110"/>
      <c r="E112" s="107"/>
      <c r="F112" s="110"/>
      <c r="G112" s="107"/>
      <c r="H112" s="110"/>
      <c r="I112" s="106"/>
      <c r="J112" s="77">
        <f>SUM(J28:J111)</f>
        <v>0</v>
      </c>
      <c r="K112" s="77">
        <f>SUM(K28:K111)</f>
        <v>0</v>
      </c>
      <c r="L112" s="77">
        <f>SUM(L28:L111)</f>
        <v>0</v>
      </c>
      <c r="M112" s="77">
        <f>SUM(M28:M111)</f>
        <v>0</v>
      </c>
      <c r="N112" s="60"/>
      <c r="O112" s="13"/>
    </row>
    <row r="113" spans="1:15" ht="12.75" customHeight="1">
      <c r="A113" s="117" t="s">
        <v>129</v>
      </c>
      <c r="B113" s="118" t="s">
        <v>37</v>
      </c>
      <c r="C113" s="119">
        <f>C42+C91+C111</f>
        <v>0</v>
      </c>
      <c r="D113" s="118" t="s">
        <v>37</v>
      </c>
      <c r="E113" s="119">
        <f>E42+E91+E111</f>
        <v>0</v>
      </c>
      <c r="F113" s="118" t="s">
        <v>37</v>
      </c>
      <c r="G113" s="119">
        <f>G42+G91+G111</f>
        <v>0</v>
      </c>
      <c r="H113" s="118" t="s">
        <v>37</v>
      </c>
      <c r="I113" s="120">
        <f>I42+I91+I111</f>
        <v>0</v>
      </c>
      <c r="J113" s="77"/>
      <c r="K113" s="77"/>
      <c r="L113" s="77"/>
      <c r="M113" s="77"/>
      <c r="N113" s="60"/>
      <c r="O113" s="13"/>
    </row>
    <row r="114" spans="1:15" ht="12.75" customHeight="1">
      <c r="A114" s="121" t="s">
        <v>36</v>
      </c>
      <c r="B114" s="118" t="s">
        <v>37</v>
      </c>
      <c r="C114" s="119">
        <f>C43</f>
        <v>0</v>
      </c>
      <c r="D114" s="118" t="s">
        <v>37</v>
      </c>
      <c r="E114" s="119">
        <f>E43</f>
        <v>0</v>
      </c>
      <c r="F114" s="118" t="s">
        <v>37</v>
      </c>
      <c r="G114" s="119">
        <f>G43</f>
        <v>0</v>
      </c>
      <c r="H114" s="118" t="s">
        <v>37</v>
      </c>
      <c r="I114" s="120">
        <f>I43</f>
        <v>0</v>
      </c>
      <c r="J114" s="77"/>
      <c r="K114" s="77"/>
      <c r="L114" s="77"/>
      <c r="M114" s="77"/>
      <c r="N114" s="60"/>
      <c r="O114" s="13"/>
    </row>
    <row r="115" spans="1:15" ht="12.75" customHeight="1">
      <c r="A115" s="121" t="s">
        <v>277</v>
      </c>
      <c r="B115" s="118" t="s">
        <v>174</v>
      </c>
      <c r="C115" s="122">
        <f>C110</f>
        <v>0</v>
      </c>
      <c r="D115" s="118" t="s">
        <v>174</v>
      </c>
      <c r="E115" s="122">
        <f>E110</f>
        <v>0</v>
      </c>
      <c r="F115" s="118" t="s">
        <v>174</v>
      </c>
      <c r="G115" s="122">
        <f>G110</f>
        <v>0</v>
      </c>
      <c r="H115" s="118" t="s">
        <v>174</v>
      </c>
      <c r="I115" s="120">
        <f>I110</f>
        <v>0</v>
      </c>
      <c r="J115" s="77"/>
      <c r="K115" s="77"/>
      <c r="L115" s="77"/>
      <c r="M115" s="77"/>
      <c r="N115" s="60"/>
      <c r="O115" s="13"/>
    </row>
    <row r="116" spans="1:15" s="154" customFormat="1" ht="12.75" customHeight="1">
      <c r="A116" s="121" t="s">
        <v>306</v>
      </c>
      <c r="B116" s="118" t="s">
        <v>307</v>
      </c>
      <c r="C116" s="119">
        <f>C44</f>
        <v>0</v>
      </c>
      <c r="D116" s="118" t="s">
        <v>307</v>
      </c>
      <c r="E116" s="119">
        <f>E44</f>
        <v>0</v>
      </c>
      <c r="F116" s="118" t="s">
        <v>307</v>
      </c>
      <c r="G116" s="119">
        <f>G44</f>
        <v>0</v>
      </c>
      <c r="H116" s="118" t="s">
        <v>307</v>
      </c>
      <c r="I116" s="120">
        <f>I44</f>
        <v>0</v>
      </c>
      <c r="J116" s="152"/>
      <c r="K116" s="152"/>
      <c r="L116" s="152"/>
      <c r="M116" s="152"/>
      <c r="N116" s="153"/>
      <c r="O116" s="145"/>
    </row>
    <row r="117" spans="1:15" s="154" customFormat="1" ht="12.75" customHeight="1">
      <c r="A117" s="121" t="s">
        <v>112</v>
      </c>
      <c r="B117" s="118"/>
      <c r="C117" s="119">
        <f>C45</f>
        <v>0</v>
      </c>
      <c r="D117" s="118"/>
      <c r="E117" s="119">
        <f>E45</f>
        <v>0</v>
      </c>
      <c r="F117" s="118"/>
      <c r="G117" s="119">
        <f>G45</f>
        <v>0</v>
      </c>
      <c r="H117" s="118"/>
      <c r="I117" s="120">
        <f>I45</f>
        <v>0</v>
      </c>
      <c r="J117" s="152"/>
      <c r="K117" s="152"/>
      <c r="L117" s="152"/>
      <c r="M117" s="152"/>
      <c r="N117" s="153"/>
      <c r="O117" s="145"/>
    </row>
    <row r="118" spans="1:15" ht="12.75" customHeight="1">
      <c r="A118" s="14"/>
      <c r="B118" s="59"/>
      <c r="C118" s="13"/>
      <c r="D118" s="13"/>
      <c r="E118" s="13"/>
      <c r="F118" s="13"/>
      <c r="G118" s="13"/>
      <c r="H118" s="13"/>
      <c r="I118" s="13"/>
      <c r="J118" s="77"/>
      <c r="K118" s="77"/>
      <c r="L118" s="77"/>
      <c r="M118" s="77"/>
      <c r="N118" s="60"/>
      <c r="O118" s="13"/>
    </row>
    <row r="119" spans="1:15" ht="12.75" customHeight="1">
      <c r="A119" s="60"/>
      <c r="B119" s="59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60"/>
      <c r="O119" s="13"/>
    </row>
    <row r="120" spans="1:15" ht="19.5" customHeight="1">
      <c r="A120" s="224" t="s">
        <v>241</v>
      </c>
      <c r="B120" s="224"/>
      <c r="C120" s="224"/>
      <c r="D120" s="224"/>
      <c r="E120" s="224"/>
      <c r="F120" s="224"/>
      <c r="G120" s="224"/>
      <c r="H120" s="224"/>
      <c r="I120" s="224"/>
      <c r="J120" s="13"/>
      <c r="K120" s="13"/>
      <c r="L120" s="13"/>
      <c r="M120" s="13"/>
      <c r="N120" s="60"/>
      <c r="O120" s="13"/>
    </row>
    <row r="121" spans="1:15" ht="18" customHeight="1">
      <c r="A121" s="216" t="s">
        <v>158</v>
      </c>
      <c r="B121" s="216"/>
      <c r="C121" s="216"/>
      <c r="D121" s="216"/>
      <c r="E121" s="216"/>
      <c r="F121" s="216"/>
      <c r="G121" s="216"/>
      <c r="H121" s="216"/>
      <c r="I121" s="216"/>
      <c r="J121" s="13"/>
      <c r="K121" s="13"/>
      <c r="L121" s="13"/>
      <c r="M121" s="13"/>
      <c r="N121" s="60"/>
      <c r="O121" s="13"/>
    </row>
    <row r="122" spans="1:14" ht="16.5" customHeight="1">
      <c r="A122" s="216" t="s">
        <v>242</v>
      </c>
      <c r="B122" s="216"/>
      <c r="C122" s="216"/>
      <c r="D122" s="216"/>
      <c r="E122" s="216"/>
      <c r="F122" s="216"/>
      <c r="G122" s="216"/>
      <c r="H122" s="216"/>
      <c r="I122" s="216"/>
      <c r="J122" s="14"/>
      <c r="K122" s="14"/>
      <c r="L122" s="14"/>
      <c r="M122" s="14"/>
      <c r="N122" s="14"/>
    </row>
    <row r="123" spans="1:14" ht="12.75" customHeight="1">
      <c r="A123" s="216" t="s">
        <v>246</v>
      </c>
      <c r="B123" s="216"/>
      <c r="C123" s="216"/>
      <c r="D123" s="216"/>
      <c r="E123" s="216"/>
      <c r="F123" s="216"/>
      <c r="G123" s="216"/>
      <c r="H123" s="216"/>
      <c r="I123" s="216"/>
      <c r="J123" s="14"/>
      <c r="K123" s="14"/>
      <c r="L123" s="14"/>
      <c r="M123" s="14"/>
      <c r="N123" s="14"/>
    </row>
    <row r="124" spans="1:14" ht="12.75" customHeight="1">
      <c r="A124" s="202" t="s">
        <v>275</v>
      </c>
      <c r="B124" s="202"/>
      <c r="C124" s="202"/>
      <c r="D124" s="202"/>
      <c r="E124" s="202"/>
      <c r="F124" s="202"/>
      <c r="G124" s="202"/>
      <c r="H124" s="202"/>
      <c r="I124" s="202"/>
      <c r="J124" s="14"/>
      <c r="K124" s="14"/>
      <c r="L124" s="14"/>
      <c r="M124" s="14"/>
      <c r="N124" s="14"/>
    </row>
    <row r="125" spans="1:15" ht="12.75" customHeight="1">
      <c r="A125" s="202"/>
      <c r="B125" s="202"/>
      <c r="C125" s="202"/>
      <c r="D125" s="202"/>
      <c r="E125" s="202"/>
      <c r="F125" s="202"/>
      <c r="G125" s="202"/>
      <c r="H125" s="202"/>
      <c r="I125" s="202"/>
      <c r="O125" s="33"/>
    </row>
    <row r="126" spans="1:9" ht="12.75" customHeight="1">
      <c r="A126" s="202"/>
      <c r="B126" s="202"/>
      <c r="C126" s="202"/>
      <c r="D126" s="202"/>
      <c r="E126" s="202"/>
      <c r="F126" s="202"/>
      <c r="G126" s="202"/>
      <c r="H126" s="202"/>
      <c r="I126" s="202"/>
    </row>
    <row r="127" spans="1:9" ht="12.75">
      <c r="A127" s="202"/>
      <c r="B127" s="202"/>
      <c r="C127" s="202"/>
      <c r="D127" s="202"/>
      <c r="E127" s="202"/>
      <c r="F127" s="202"/>
      <c r="G127" s="202"/>
      <c r="H127" s="202"/>
      <c r="I127" s="202"/>
    </row>
    <row r="128" spans="1:9" ht="12.75">
      <c r="A128" s="202"/>
      <c r="B128" s="202"/>
      <c r="C128" s="202"/>
      <c r="D128" s="202"/>
      <c r="E128" s="202"/>
      <c r="F128" s="202"/>
      <c r="G128" s="202"/>
      <c r="H128" s="202"/>
      <c r="I128" s="202"/>
    </row>
    <row r="129" spans="1:9" ht="12.75">
      <c r="A129" s="232" t="s">
        <v>100</v>
      </c>
      <c r="B129" s="232"/>
      <c r="C129" s="232"/>
      <c r="D129" s="232"/>
      <c r="E129" s="232"/>
      <c r="F129" s="232"/>
      <c r="G129" s="232"/>
      <c r="H129" s="232"/>
      <c r="I129" s="232"/>
    </row>
    <row r="130" spans="1:9" ht="12.75" customHeight="1">
      <c r="A130" s="232"/>
      <c r="B130" s="232"/>
      <c r="C130" s="232"/>
      <c r="D130" s="232"/>
      <c r="E130" s="232"/>
      <c r="F130" s="232"/>
      <c r="G130" s="232"/>
      <c r="H130" s="232"/>
      <c r="I130" s="232"/>
    </row>
    <row r="131" spans="1:9" ht="12.75" customHeight="1">
      <c r="A131" s="232" t="s">
        <v>276</v>
      </c>
      <c r="B131" s="232"/>
      <c r="C131" s="232"/>
      <c r="D131" s="232"/>
      <c r="E131" s="232"/>
      <c r="F131" s="232"/>
      <c r="G131" s="232"/>
      <c r="H131" s="232"/>
      <c r="I131" s="232"/>
    </row>
    <row r="132" spans="1:9" ht="12.75" customHeight="1">
      <c r="A132" s="232"/>
      <c r="B132" s="232"/>
      <c r="C132" s="232"/>
      <c r="D132" s="232"/>
      <c r="E132" s="232"/>
      <c r="F132" s="232"/>
      <c r="G132" s="232"/>
      <c r="H132" s="232"/>
      <c r="I132" s="232"/>
    </row>
    <row r="133" spans="1:9" ht="12.75" customHeight="1">
      <c r="A133" s="232"/>
      <c r="B133" s="232"/>
      <c r="C133" s="232"/>
      <c r="D133" s="232"/>
      <c r="E133" s="232"/>
      <c r="F133" s="232"/>
      <c r="G133" s="232"/>
      <c r="H133" s="232"/>
      <c r="I133" s="232"/>
    </row>
    <row r="134" spans="1:9" ht="12.75" customHeight="1">
      <c r="A134" s="202" t="s">
        <v>245</v>
      </c>
      <c r="B134" s="202"/>
      <c r="C134" s="202"/>
      <c r="D134" s="202"/>
      <c r="E134" s="202"/>
      <c r="F134" s="202"/>
      <c r="G134" s="202"/>
      <c r="H134" s="202"/>
      <c r="I134" s="202"/>
    </row>
    <row r="135" spans="1:9" ht="12.75" customHeight="1">
      <c r="A135" s="202"/>
      <c r="B135" s="202"/>
      <c r="C135" s="202"/>
      <c r="D135" s="202"/>
      <c r="E135" s="202"/>
      <c r="F135" s="202"/>
      <c r="G135" s="202"/>
      <c r="H135" s="202"/>
      <c r="I135" s="202"/>
    </row>
    <row r="136" spans="1:9" ht="12.75" customHeight="1">
      <c r="A136" s="210" t="s">
        <v>248</v>
      </c>
      <c r="B136" s="211"/>
      <c r="C136" s="211"/>
      <c r="D136" s="211"/>
      <c r="E136" s="211"/>
      <c r="F136" s="211"/>
      <c r="G136" s="211"/>
      <c r="H136" s="211"/>
      <c r="I136" s="212"/>
    </row>
    <row r="137" spans="1:9" ht="12.75" customHeight="1">
      <c r="A137" s="204" t="s">
        <v>244</v>
      </c>
      <c r="B137" s="205"/>
      <c r="C137" s="205"/>
      <c r="D137" s="205"/>
      <c r="E137" s="205"/>
      <c r="F137" s="205"/>
      <c r="G137" s="205"/>
      <c r="H137" s="205"/>
      <c r="I137" s="206"/>
    </row>
    <row r="138" spans="1:9" ht="12.75" customHeight="1">
      <c r="A138" s="207"/>
      <c r="B138" s="208"/>
      <c r="C138" s="208"/>
      <c r="D138" s="208"/>
      <c r="E138" s="208"/>
      <c r="F138" s="208"/>
      <c r="G138" s="208"/>
      <c r="H138" s="208"/>
      <c r="I138" s="209"/>
    </row>
    <row r="139" spans="1:9" ht="12.75" customHeight="1">
      <c r="A139" s="200" t="s">
        <v>113</v>
      </c>
      <c r="B139" s="200"/>
      <c r="C139" s="200"/>
      <c r="D139" s="200"/>
      <c r="E139" s="200"/>
      <c r="F139" s="200"/>
      <c r="G139" s="200"/>
      <c r="H139" s="200"/>
      <c r="I139" s="200"/>
    </row>
    <row r="140" spans="1:9" ht="12.75" customHeight="1">
      <c r="A140" s="200"/>
      <c r="B140" s="200"/>
      <c r="C140" s="200"/>
      <c r="D140" s="200"/>
      <c r="E140" s="200"/>
      <c r="F140" s="200"/>
      <c r="G140" s="200"/>
      <c r="H140" s="200"/>
      <c r="I140" s="200"/>
    </row>
    <row r="141" spans="1:9" ht="12.75">
      <c r="A141" s="200"/>
      <c r="B141" s="200"/>
      <c r="C141" s="200"/>
      <c r="D141" s="200"/>
      <c r="E141" s="200"/>
      <c r="F141" s="200"/>
      <c r="G141" s="200"/>
      <c r="H141" s="200"/>
      <c r="I141" s="200"/>
    </row>
    <row r="142" spans="1:9" ht="12.75">
      <c r="A142" s="200"/>
      <c r="B142" s="200"/>
      <c r="C142" s="200"/>
      <c r="D142" s="200"/>
      <c r="E142" s="200"/>
      <c r="F142" s="200"/>
      <c r="G142" s="200"/>
      <c r="H142" s="200"/>
      <c r="I142" s="200"/>
    </row>
    <row r="143" spans="1:9" ht="12.75">
      <c r="A143" s="200"/>
      <c r="B143" s="200"/>
      <c r="C143" s="200"/>
      <c r="D143" s="200"/>
      <c r="E143" s="200"/>
      <c r="F143" s="200"/>
      <c r="G143" s="200"/>
      <c r="H143" s="200"/>
      <c r="I143" s="200"/>
    </row>
    <row r="144" spans="1:9" ht="12.75">
      <c r="A144" s="200"/>
      <c r="B144" s="200"/>
      <c r="C144" s="200"/>
      <c r="D144" s="200"/>
      <c r="E144" s="200"/>
      <c r="F144" s="200"/>
      <c r="G144" s="200"/>
      <c r="H144" s="200"/>
      <c r="I144" s="200"/>
    </row>
    <row r="145" spans="1:9" ht="12.75">
      <c r="A145" s="200"/>
      <c r="B145" s="200"/>
      <c r="C145" s="200"/>
      <c r="D145" s="200"/>
      <c r="E145" s="200"/>
      <c r="F145" s="200"/>
      <c r="G145" s="200"/>
      <c r="H145" s="200"/>
      <c r="I145" s="200"/>
    </row>
    <row r="146" spans="1:9" ht="12.75">
      <c r="A146" s="200"/>
      <c r="B146" s="200"/>
      <c r="C146" s="200"/>
      <c r="D146" s="200"/>
      <c r="E146" s="200"/>
      <c r="F146" s="200"/>
      <c r="G146" s="200"/>
      <c r="H146" s="200"/>
      <c r="I146" s="200"/>
    </row>
    <row r="147" spans="1:9" ht="12.75">
      <c r="A147" s="200"/>
      <c r="B147" s="200"/>
      <c r="C147" s="200"/>
      <c r="D147" s="200"/>
      <c r="E147" s="200"/>
      <c r="F147" s="200"/>
      <c r="G147" s="200"/>
      <c r="H147" s="200"/>
      <c r="I147" s="200"/>
    </row>
    <row r="148" spans="1:9" ht="12.75">
      <c r="A148" s="200"/>
      <c r="B148" s="200"/>
      <c r="C148" s="200"/>
      <c r="D148" s="200"/>
      <c r="E148" s="200"/>
      <c r="F148" s="200"/>
      <c r="G148" s="200"/>
      <c r="H148" s="200"/>
      <c r="I148" s="200"/>
    </row>
    <row r="149" spans="1:9" ht="12.75">
      <c r="A149" s="200"/>
      <c r="B149" s="200"/>
      <c r="C149" s="200"/>
      <c r="D149" s="200"/>
      <c r="E149" s="200"/>
      <c r="F149" s="200"/>
      <c r="G149" s="200"/>
      <c r="H149" s="200"/>
      <c r="I149" s="200"/>
    </row>
    <row r="150" spans="1:9" ht="12.75">
      <c r="A150" s="200"/>
      <c r="B150" s="200"/>
      <c r="C150" s="200"/>
      <c r="D150" s="200"/>
      <c r="E150" s="200"/>
      <c r="F150" s="200"/>
      <c r="G150" s="200"/>
      <c r="H150" s="200"/>
      <c r="I150" s="200"/>
    </row>
    <row r="151" spans="1:9" ht="12.75">
      <c r="A151" s="200"/>
      <c r="B151" s="200"/>
      <c r="C151" s="200"/>
      <c r="D151" s="200"/>
      <c r="E151" s="200"/>
      <c r="F151" s="200"/>
      <c r="G151" s="200"/>
      <c r="H151" s="200"/>
      <c r="I151" s="200"/>
    </row>
    <row r="152" spans="1:9" ht="12.75">
      <c r="A152" s="200"/>
      <c r="B152" s="200"/>
      <c r="C152" s="200"/>
      <c r="D152" s="200"/>
      <c r="E152" s="200"/>
      <c r="F152" s="200"/>
      <c r="G152" s="200"/>
      <c r="H152" s="200"/>
      <c r="I152" s="200"/>
    </row>
    <row r="153" spans="1:9" ht="12.75">
      <c r="A153" s="200"/>
      <c r="B153" s="200"/>
      <c r="C153" s="200"/>
      <c r="D153" s="200"/>
      <c r="E153" s="200"/>
      <c r="F153" s="200"/>
      <c r="G153" s="200"/>
      <c r="H153" s="200"/>
      <c r="I153" s="200"/>
    </row>
    <row r="154" spans="1:9" ht="12.75">
      <c r="A154" s="200"/>
      <c r="B154" s="200"/>
      <c r="C154" s="200"/>
      <c r="D154" s="200"/>
      <c r="E154" s="200"/>
      <c r="F154" s="200"/>
      <c r="G154" s="200"/>
      <c r="H154" s="200"/>
      <c r="I154" s="200"/>
    </row>
    <row r="155" spans="1:15" s="3" customFormat="1" ht="12.75">
      <c r="A155" s="200"/>
      <c r="B155" s="200"/>
      <c r="C155" s="200"/>
      <c r="D155" s="200"/>
      <c r="E155" s="200"/>
      <c r="F155" s="200"/>
      <c r="G155" s="200"/>
      <c r="H155" s="200"/>
      <c r="I155" s="200"/>
      <c r="J155" s="39"/>
      <c r="K155" s="39"/>
      <c r="L155" s="39"/>
      <c r="M155" s="39"/>
      <c r="N155" s="39"/>
      <c r="O155" s="39"/>
    </row>
    <row r="156" spans="1:15" s="3" customFormat="1" ht="12.75">
      <c r="A156" s="200"/>
      <c r="B156" s="200"/>
      <c r="C156" s="200"/>
      <c r="D156" s="200"/>
      <c r="E156" s="200"/>
      <c r="F156" s="200"/>
      <c r="G156" s="200"/>
      <c r="H156" s="200"/>
      <c r="I156" s="200"/>
      <c r="J156" s="39"/>
      <c r="K156" s="39"/>
      <c r="L156" s="39"/>
      <c r="M156" s="39"/>
      <c r="N156" s="39"/>
      <c r="O156" s="39"/>
    </row>
    <row r="157" spans="1:9" ht="12.75">
      <c r="A157" s="200"/>
      <c r="B157" s="200"/>
      <c r="C157" s="200"/>
      <c r="D157" s="200"/>
      <c r="E157" s="200"/>
      <c r="F157" s="200"/>
      <c r="G157" s="200"/>
      <c r="H157" s="200"/>
      <c r="I157" s="200"/>
    </row>
    <row r="158" spans="1:15" s="3" customFormat="1" ht="12.75">
      <c r="A158" s="200"/>
      <c r="B158" s="200"/>
      <c r="C158" s="200"/>
      <c r="D158" s="200"/>
      <c r="E158" s="200"/>
      <c r="F158" s="200"/>
      <c r="G158" s="200"/>
      <c r="H158" s="200"/>
      <c r="I158" s="200"/>
      <c r="J158" s="39"/>
      <c r="K158" s="39"/>
      <c r="L158" s="39"/>
      <c r="M158" s="39"/>
      <c r="N158" s="39"/>
      <c r="O158" s="39"/>
    </row>
    <row r="159" spans="1:15" s="3" customFormat="1" ht="12.75">
      <c r="A159" s="41"/>
      <c r="B159" s="40"/>
      <c r="C159" s="40"/>
      <c r="D159" s="39"/>
      <c r="E159" s="39"/>
      <c r="F159" s="39"/>
      <c r="G159" s="39"/>
      <c r="H159" s="42"/>
      <c r="I159" s="39"/>
      <c r="J159" s="39"/>
      <c r="K159" s="39"/>
      <c r="L159" s="39"/>
      <c r="M159" s="39"/>
      <c r="N159" s="39"/>
      <c r="O159" s="39"/>
    </row>
    <row r="160" spans="1:15" s="3" customFormat="1" ht="12.75">
      <c r="A160" s="41"/>
      <c r="B160" s="40"/>
      <c r="C160" s="40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</row>
    <row r="161" spans="1:15" s="3" customFormat="1" ht="12.75">
      <c r="A161" s="41"/>
      <c r="B161" s="40"/>
      <c r="C161" s="40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</row>
    <row r="162" spans="1:15" s="3" customFormat="1" ht="12.75">
      <c r="A162" s="41"/>
      <c r="B162" s="40"/>
      <c r="C162" s="40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</row>
    <row r="163" spans="1:15" s="3" customFormat="1" ht="12.75">
      <c r="A163" s="41"/>
      <c r="B163" s="40"/>
      <c r="C163" s="40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</row>
    <row r="164" spans="1:15" s="3" customFormat="1" ht="12.75">
      <c r="A164" s="41"/>
      <c r="B164" s="40"/>
      <c r="C164" s="40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</row>
    <row r="165" spans="1:15" s="3" customFormat="1" ht="12.75">
      <c r="A165" s="41"/>
      <c r="B165" s="40"/>
      <c r="C165" s="40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</row>
    <row r="166" spans="1:15" s="3" customFormat="1" ht="12.75">
      <c r="A166" s="41"/>
      <c r="B166" s="40"/>
      <c r="C166" s="40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</row>
    <row r="167" spans="1:15" s="3" customFormat="1" ht="12.75">
      <c r="A167" s="41"/>
      <c r="B167" s="40"/>
      <c r="C167" s="40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</row>
    <row r="168" spans="1:15" s="3" customFormat="1" ht="12.75">
      <c r="A168" s="41"/>
      <c r="B168" s="40"/>
      <c r="C168" s="40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</row>
    <row r="169" spans="1:15" s="3" customFormat="1" ht="12.75">
      <c r="A169" s="41"/>
      <c r="B169" s="40"/>
      <c r="C169" s="40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</row>
    <row r="170" spans="1:15" s="3" customFormat="1" ht="12.75">
      <c r="A170" s="41"/>
      <c r="B170" s="40"/>
      <c r="C170" s="40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</row>
    <row r="171" spans="1:15" s="3" customFormat="1" ht="12.75">
      <c r="A171" s="41"/>
      <c r="B171" s="40"/>
      <c r="C171" s="40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</row>
    <row r="172" spans="1:15" s="3" customFormat="1" ht="12.75">
      <c r="A172" s="41"/>
      <c r="B172" s="40"/>
      <c r="C172" s="40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</row>
    <row r="173" spans="1:15" s="3" customFormat="1" ht="12.75">
      <c r="A173" s="41"/>
      <c r="B173" s="40"/>
      <c r="C173" s="40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</row>
    <row r="174" spans="1:15" s="3" customFormat="1" ht="12.75">
      <c r="A174" s="41"/>
      <c r="B174" s="40"/>
      <c r="C174" s="40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</row>
    <row r="175" spans="1:15" s="3" customFormat="1" ht="12.75">
      <c r="A175" s="41"/>
      <c r="B175" s="40"/>
      <c r="C175" s="40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</row>
    <row r="176" spans="1:15" s="3" customFormat="1" ht="12.75">
      <c r="A176" s="41"/>
      <c r="B176" s="40"/>
      <c r="C176" s="40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</row>
    <row r="177" spans="1:15" s="3" customFormat="1" ht="12.75">
      <c r="A177" s="41"/>
      <c r="B177" s="40"/>
      <c r="C177" s="40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</row>
    <row r="178" spans="1:15" s="3" customFormat="1" ht="12.75">
      <c r="A178" s="41"/>
      <c r="B178" s="40"/>
      <c r="C178" s="40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</row>
    <row r="179" spans="1:15" s="3" customFormat="1" ht="12.75">
      <c r="A179" s="41"/>
      <c r="B179" s="40"/>
      <c r="C179" s="40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</row>
    <row r="180" spans="1:15" s="3" customFormat="1" ht="12.75">
      <c r="A180" s="41"/>
      <c r="B180" s="40"/>
      <c r="C180" s="40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</row>
    <row r="181" spans="1:15" s="3" customFormat="1" ht="12.75">
      <c r="A181" s="41"/>
      <c r="B181" s="40"/>
      <c r="C181" s="40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</row>
    <row r="182" spans="1:15" s="3" customFormat="1" ht="12.75">
      <c r="A182" s="41"/>
      <c r="B182" s="40"/>
      <c r="C182" s="40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</row>
    <row r="183" spans="1:15" s="3" customFormat="1" ht="12.75">
      <c r="A183" s="41"/>
      <c r="B183" s="40"/>
      <c r="C183" s="40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</row>
    <row r="184" spans="1:15" s="3" customFormat="1" ht="12.75">
      <c r="A184" s="41"/>
      <c r="B184" s="40"/>
      <c r="C184" s="40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</row>
    <row r="185" spans="1:15" s="3" customFormat="1" ht="12.75">
      <c r="A185" s="41"/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</row>
    <row r="186" spans="1:15" s="3" customFormat="1" ht="12.75">
      <c r="A186" s="41"/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</row>
    <row r="187" spans="1:15" s="45" customFormat="1" ht="12.75">
      <c r="A187" s="43"/>
      <c r="B187" s="44"/>
      <c r="C187" s="44"/>
      <c r="D187" s="44"/>
      <c r="E187" s="44"/>
      <c r="F187" s="44"/>
      <c r="G187" s="44"/>
      <c r="H187" s="44"/>
      <c r="I187" s="44"/>
      <c r="J187" s="44"/>
      <c r="K187" s="44"/>
      <c r="L187" s="44"/>
      <c r="M187" s="42"/>
      <c r="N187" s="42"/>
      <c r="O187" s="42"/>
    </row>
    <row r="188" spans="1:15" s="3" customFormat="1" ht="12.75">
      <c r="A188" s="39"/>
      <c r="B188" s="41"/>
      <c r="C188" s="41"/>
      <c r="D188" s="41"/>
      <c r="E188" s="41"/>
      <c r="F188" s="41"/>
      <c r="G188" s="41"/>
      <c r="H188" s="40"/>
      <c r="I188" s="40"/>
      <c r="J188" s="40"/>
      <c r="K188" s="40"/>
      <c r="L188" s="41"/>
      <c r="M188" s="39"/>
      <c r="N188" s="39"/>
      <c r="O188" s="39"/>
    </row>
    <row r="189" spans="1:15" s="3" customFormat="1" ht="12.75">
      <c r="A189" s="39"/>
      <c r="B189" s="41"/>
      <c r="C189" s="41"/>
      <c r="D189" s="41"/>
      <c r="E189" s="41"/>
      <c r="F189" s="41"/>
      <c r="G189" s="41"/>
      <c r="H189" s="40"/>
      <c r="I189" s="40"/>
      <c r="J189" s="40"/>
      <c r="K189" s="40"/>
      <c r="L189" s="41"/>
      <c r="M189" s="39"/>
      <c r="N189" s="39"/>
      <c r="O189" s="39"/>
    </row>
    <row r="190" spans="1:15" s="3" customFormat="1" ht="12.75">
      <c r="A190" s="39"/>
      <c r="B190" s="41"/>
      <c r="C190" s="41"/>
      <c r="D190" s="41"/>
      <c r="E190" s="41"/>
      <c r="F190" s="41"/>
      <c r="G190" s="41"/>
      <c r="H190" s="40"/>
      <c r="I190" s="40"/>
      <c r="J190" s="40"/>
      <c r="K190" s="40"/>
      <c r="L190" s="41"/>
      <c r="M190" s="39"/>
      <c r="N190" s="39"/>
      <c r="O190" s="39"/>
    </row>
    <row r="191" spans="1:15" s="3" customFormat="1" ht="12.75">
      <c r="A191" s="44"/>
      <c r="B191" s="44"/>
      <c r="C191" s="44"/>
      <c r="D191" s="44"/>
      <c r="E191" s="44"/>
      <c r="F191" s="44"/>
      <c r="G191" s="44"/>
      <c r="H191" s="44"/>
      <c r="I191" s="44"/>
      <c r="J191" s="44"/>
      <c r="K191" s="44"/>
      <c r="L191" s="44"/>
      <c r="M191" s="39"/>
      <c r="N191" s="39"/>
      <c r="O191" s="39"/>
    </row>
    <row r="192" spans="1:15" s="3" customFormat="1" ht="12.75">
      <c r="A192" s="39"/>
      <c r="B192" s="41"/>
      <c r="C192" s="41"/>
      <c r="D192" s="41"/>
      <c r="E192" s="41"/>
      <c r="F192" s="41"/>
      <c r="G192" s="41"/>
      <c r="H192" s="40"/>
      <c r="I192" s="40"/>
      <c r="J192" s="40"/>
      <c r="K192" s="40"/>
      <c r="L192" s="41"/>
      <c r="M192" s="39"/>
      <c r="N192" s="39"/>
      <c r="O192" s="39"/>
    </row>
    <row r="193" spans="1:15" s="3" customFormat="1" ht="12.75">
      <c r="A193" s="39"/>
      <c r="B193" s="41"/>
      <c r="C193" s="41"/>
      <c r="D193" s="41"/>
      <c r="E193" s="41"/>
      <c r="F193" s="41"/>
      <c r="G193" s="41"/>
      <c r="H193" s="40"/>
      <c r="I193" s="40"/>
      <c r="J193" s="40"/>
      <c r="K193" s="40"/>
      <c r="L193" s="41"/>
      <c r="M193" s="39"/>
      <c r="N193" s="39"/>
      <c r="O193" s="39"/>
    </row>
    <row r="194" spans="1:15" s="3" customFormat="1" ht="12.75">
      <c r="A194" s="39"/>
      <c r="B194" s="41"/>
      <c r="C194" s="41"/>
      <c r="D194" s="41"/>
      <c r="E194" s="41"/>
      <c r="F194" s="41"/>
      <c r="G194" s="41"/>
      <c r="H194" s="40"/>
      <c r="I194" s="40"/>
      <c r="J194" s="40"/>
      <c r="K194" s="40"/>
      <c r="L194" s="41"/>
      <c r="M194" s="39"/>
      <c r="N194" s="39"/>
      <c r="O194" s="39"/>
    </row>
    <row r="195" spans="1:15" s="3" customFormat="1" ht="12.75">
      <c r="A195" s="39"/>
      <c r="B195" s="41"/>
      <c r="C195" s="41"/>
      <c r="D195" s="41"/>
      <c r="E195" s="41"/>
      <c r="F195" s="41"/>
      <c r="G195" s="41"/>
      <c r="H195" s="40"/>
      <c r="I195" s="40"/>
      <c r="J195" s="40"/>
      <c r="K195" s="40"/>
      <c r="L195" s="41"/>
      <c r="M195" s="39"/>
      <c r="N195" s="39"/>
      <c r="O195" s="39"/>
    </row>
    <row r="196" spans="1:15" s="3" customFormat="1" ht="12.75">
      <c r="A196" s="39"/>
      <c r="B196" s="41"/>
      <c r="C196" s="41"/>
      <c r="D196" s="41"/>
      <c r="E196" s="41"/>
      <c r="F196" s="41"/>
      <c r="G196" s="41"/>
      <c r="H196" s="40"/>
      <c r="I196" s="40"/>
      <c r="J196" s="40"/>
      <c r="K196" s="40"/>
      <c r="L196" s="41"/>
      <c r="M196" s="39"/>
      <c r="N196" s="39"/>
      <c r="O196" s="39"/>
    </row>
    <row r="197" spans="1:15" s="3" customFormat="1" ht="12.75">
      <c r="A197" s="39"/>
      <c r="B197" s="41"/>
      <c r="C197" s="41"/>
      <c r="D197" s="41"/>
      <c r="E197" s="41"/>
      <c r="F197" s="41"/>
      <c r="G197" s="41"/>
      <c r="H197" s="40"/>
      <c r="I197" s="40"/>
      <c r="J197" s="40"/>
      <c r="K197" s="40"/>
      <c r="L197" s="41"/>
      <c r="M197" s="39"/>
      <c r="N197" s="39"/>
      <c r="O197" s="39"/>
    </row>
    <row r="198" spans="1:15" s="3" customFormat="1" ht="12.75">
      <c r="A198" s="39"/>
      <c r="B198" s="41"/>
      <c r="C198" s="41"/>
      <c r="D198" s="41"/>
      <c r="E198" s="41"/>
      <c r="F198" s="41"/>
      <c r="G198" s="41"/>
      <c r="H198" s="40"/>
      <c r="I198" s="40"/>
      <c r="J198" s="40"/>
      <c r="K198" s="40"/>
      <c r="L198" s="41"/>
      <c r="M198" s="39"/>
      <c r="N198" s="39"/>
      <c r="O198" s="39"/>
    </row>
    <row r="199" spans="1:15" s="3" customFormat="1" ht="12.75">
      <c r="A199" s="39"/>
      <c r="B199" s="41"/>
      <c r="C199" s="41"/>
      <c r="D199" s="41"/>
      <c r="E199" s="41"/>
      <c r="F199" s="41"/>
      <c r="G199" s="41"/>
      <c r="H199" s="40"/>
      <c r="I199" s="40"/>
      <c r="J199" s="40"/>
      <c r="K199" s="40"/>
      <c r="L199" s="41"/>
      <c r="M199" s="39"/>
      <c r="N199" s="39"/>
      <c r="O199" s="39"/>
    </row>
    <row r="200" spans="1:15" s="3" customFormat="1" ht="12.75">
      <c r="A200" s="39"/>
      <c r="B200" s="41"/>
      <c r="C200" s="41"/>
      <c r="D200" s="41"/>
      <c r="E200" s="41"/>
      <c r="F200" s="41"/>
      <c r="G200" s="41"/>
      <c r="H200" s="40"/>
      <c r="I200" s="40"/>
      <c r="J200" s="40"/>
      <c r="K200" s="40"/>
      <c r="L200" s="41"/>
      <c r="M200" s="39"/>
      <c r="N200" s="39"/>
      <c r="O200" s="39"/>
    </row>
    <row r="201" spans="1:15" s="3" customFormat="1" ht="12.75">
      <c r="A201" s="39"/>
      <c r="B201" s="41"/>
      <c r="C201" s="41"/>
      <c r="D201" s="41"/>
      <c r="E201" s="41"/>
      <c r="F201" s="41"/>
      <c r="G201" s="41"/>
      <c r="H201" s="40"/>
      <c r="I201" s="40"/>
      <c r="J201" s="40"/>
      <c r="K201" s="40"/>
      <c r="L201" s="41"/>
      <c r="M201" s="39"/>
      <c r="N201" s="39"/>
      <c r="O201" s="39"/>
    </row>
    <row r="202" spans="1:15" s="3" customFormat="1" ht="12.75">
      <c r="A202" s="39"/>
      <c r="B202" s="41"/>
      <c r="C202" s="41"/>
      <c r="D202" s="41"/>
      <c r="E202" s="41"/>
      <c r="F202" s="41"/>
      <c r="G202" s="41"/>
      <c r="H202" s="40"/>
      <c r="I202" s="40"/>
      <c r="J202" s="40"/>
      <c r="K202" s="40"/>
      <c r="L202" s="41"/>
      <c r="M202" s="39"/>
      <c r="N202" s="39"/>
      <c r="O202" s="39"/>
    </row>
    <row r="203" spans="1:15" s="3" customFormat="1" ht="12.75">
      <c r="A203" s="39"/>
      <c r="B203" s="41"/>
      <c r="C203" s="41"/>
      <c r="D203" s="41"/>
      <c r="E203" s="41"/>
      <c r="F203" s="41"/>
      <c r="G203" s="41"/>
      <c r="H203" s="40"/>
      <c r="I203" s="40"/>
      <c r="J203" s="40"/>
      <c r="K203" s="40"/>
      <c r="L203" s="41"/>
      <c r="M203" s="39"/>
      <c r="N203" s="39"/>
      <c r="O203" s="39"/>
    </row>
    <row r="204" spans="1:15" s="3" customFormat="1" ht="12.75">
      <c r="A204" s="39"/>
      <c r="B204" s="41"/>
      <c r="C204" s="41"/>
      <c r="D204" s="41"/>
      <c r="E204" s="41"/>
      <c r="F204" s="41"/>
      <c r="G204" s="41"/>
      <c r="H204" s="40"/>
      <c r="I204" s="40"/>
      <c r="J204" s="40"/>
      <c r="K204" s="40"/>
      <c r="L204" s="41"/>
      <c r="M204" s="39"/>
      <c r="N204" s="39"/>
      <c r="O204" s="39"/>
    </row>
    <row r="205" spans="1:15" s="3" customFormat="1" ht="12.75">
      <c r="A205" s="39"/>
      <c r="B205" s="41"/>
      <c r="C205" s="41"/>
      <c r="D205" s="41"/>
      <c r="E205" s="41"/>
      <c r="F205" s="41"/>
      <c r="G205" s="41"/>
      <c r="H205" s="40"/>
      <c r="I205" s="40"/>
      <c r="J205" s="40"/>
      <c r="K205" s="40"/>
      <c r="L205" s="41"/>
      <c r="M205" s="39"/>
      <c r="N205" s="39"/>
      <c r="O205" s="39"/>
    </row>
    <row r="206" spans="1:15" s="3" customFormat="1" ht="12.75">
      <c r="A206" s="39"/>
      <c r="B206" s="41"/>
      <c r="C206" s="41"/>
      <c r="D206" s="41"/>
      <c r="E206" s="41"/>
      <c r="F206" s="41"/>
      <c r="G206" s="41"/>
      <c r="H206" s="40"/>
      <c r="I206" s="40"/>
      <c r="J206" s="40"/>
      <c r="K206" s="40"/>
      <c r="L206" s="41"/>
      <c r="M206" s="39"/>
      <c r="N206" s="39"/>
      <c r="O206" s="39"/>
    </row>
    <row r="207" spans="1:15" s="3" customFormat="1" ht="12.75">
      <c r="A207" s="39"/>
      <c r="B207" s="39"/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</row>
    <row r="208" spans="1:15" s="3" customFormat="1" ht="12.75">
      <c r="A208" s="39"/>
      <c r="B208" s="39"/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</row>
    <row r="209" spans="1:15" s="3" customFormat="1" ht="12.75">
      <c r="A209" s="39"/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</row>
    <row r="210" spans="1:15" s="3" customFormat="1" ht="12.75">
      <c r="A210" s="39"/>
      <c r="B210" s="39"/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</row>
    <row r="211" spans="1:15" s="3" customFormat="1" ht="12.75">
      <c r="A211" s="39"/>
      <c r="B211" s="39"/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</row>
    <row r="212" spans="1:15" s="3" customFormat="1" ht="12.75">
      <c r="A212" s="39"/>
      <c r="B212" s="39"/>
      <c r="C212" s="39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</row>
    <row r="213" spans="1:15" s="3" customFormat="1" ht="12.75">
      <c r="A213" s="39"/>
      <c r="B213" s="39"/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</row>
    <row r="214" spans="1:15" s="3" customFormat="1" ht="12.75">
      <c r="A214" s="39"/>
      <c r="B214" s="39"/>
      <c r="C214" s="39"/>
      <c r="D214" s="39"/>
      <c r="M214" s="39"/>
      <c r="N214" s="39"/>
      <c r="O214" s="39"/>
    </row>
    <row r="215" spans="1:15" s="3" customFormat="1" ht="12.75">
      <c r="A215" s="39"/>
      <c r="B215" s="39"/>
      <c r="C215" s="39"/>
      <c r="D215" s="39"/>
      <c r="M215" s="39"/>
      <c r="N215" s="39"/>
      <c r="O215" s="39"/>
    </row>
    <row r="216" spans="1:15" s="3" customFormat="1" ht="12.75">
      <c r="A216" s="39"/>
      <c r="B216" s="39"/>
      <c r="C216" s="39"/>
      <c r="D216" s="39"/>
      <c r="M216" s="39"/>
      <c r="N216" s="39"/>
      <c r="O216" s="39"/>
    </row>
    <row r="217" spans="1:15" s="3" customFormat="1" ht="12.75">
      <c r="A217" s="39"/>
      <c r="B217" s="39"/>
      <c r="C217" s="39"/>
      <c r="D217" s="39"/>
      <c r="M217" s="39"/>
      <c r="N217" s="39"/>
      <c r="O217" s="39"/>
    </row>
    <row r="218" spans="1:15" s="3" customFormat="1" ht="12.75">
      <c r="A218" s="39"/>
      <c r="B218" s="39"/>
      <c r="C218" s="39"/>
      <c r="D218" s="39"/>
      <c r="M218" s="39"/>
      <c r="N218" s="39"/>
      <c r="O218" s="39"/>
    </row>
    <row r="219" spans="1:15" s="3" customFormat="1" ht="12.75">
      <c r="A219" s="39"/>
      <c r="B219" s="39"/>
      <c r="C219" s="39"/>
      <c r="D219" s="39"/>
      <c r="M219" s="39"/>
      <c r="N219" s="39"/>
      <c r="O219" s="39"/>
    </row>
    <row r="220" spans="1:15" s="3" customFormat="1" ht="12.75">
      <c r="A220" s="39"/>
      <c r="B220" s="39"/>
      <c r="C220" s="39"/>
      <c r="D220" s="39"/>
      <c r="M220" s="39"/>
      <c r="N220" s="39"/>
      <c r="O220" s="39"/>
    </row>
    <row r="221" spans="1:15" s="3" customFormat="1" ht="12.75">
      <c r="A221" s="39"/>
      <c r="B221" s="39"/>
      <c r="C221" s="39"/>
      <c r="D221" s="39"/>
      <c r="M221" s="39"/>
      <c r="N221" s="39"/>
      <c r="O221" s="39"/>
    </row>
    <row r="222" spans="1:15" s="3" customFormat="1" ht="12.75">
      <c r="A222" s="39"/>
      <c r="B222" s="39"/>
      <c r="C222" s="39"/>
      <c r="D222" s="39"/>
      <c r="M222" s="39"/>
      <c r="N222" s="39"/>
      <c r="O222" s="39"/>
    </row>
    <row r="223" spans="1:15" s="3" customFormat="1" ht="12.75">
      <c r="A223" s="39"/>
      <c r="B223" s="39"/>
      <c r="C223" s="39"/>
      <c r="D223" s="39"/>
      <c r="M223" s="39"/>
      <c r="N223" s="39"/>
      <c r="O223" s="39"/>
    </row>
    <row r="224" spans="1:15" s="3" customFormat="1" ht="12.75">
      <c r="A224" s="39"/>
      <c r="B224" s="39"/>
      <c r="C224" s="39"/>
      <c r="D224" s="39"/>
      <c r="M224" s="39"/>
      <c r="N224" s="39"/>
      <c r="O224" s="39"/>
    </row>
    <row r="225" spans="1:15" s="3" customFormat="1" ht="12.75">
      <c r="A225" s="39"/>
      <c r="B225" s="39"/>
      <c r="C225" s="39"/>
      <c r="D225" s="39"/>
      <c r="M225" s="39"/>
      <c r="N225" s="39"/>
      <c r="O225" s="39"/>
    </row>
    <row r="226" spans="1:15" s="3" customFormat="1" ht="12.75">
      <c r="A226" s="39"/>
      <c r="B226" s="39"/>
      <c r="C226" s="39"/>
      <c r="D226" s="39"/>
      <c r="M226" s="39"/>
      <c r="N226" s="39"/>
      <c r="O226" s="39"/>
    </row>
    <row r="227" s="3" customFormat="1" ht="12.75"/>
    <row r="228" s="3" customFormat="1" ht="12.75"/>
    <row r="229" s="3" customFormat="1" ht="12.75"/>
    <row r="230" s="3" customFormat="1" ht="12.75"/>
    <row r="231" s="3" customFormat="1" ht="12.75"/>
  </sheetData>
  <sheetProtection selectLockedCells="1" selectUnlockedCells="1"/>
  <mergeCells count="69">
    <mergeCell ref="A123:I123"/>
    <mergeCell ref="F25:G25"/>
    <mergeCell ref="H25:I25"/>
    <mergeCell ref="B16:C16"/>
    <mergeCell ref="D16:E16"/>
    <mergeCell ref="F16:G16"/>
    <mergeCell ref="H16:I16"/>
    <mergeCell ref="D21:I21"/>
    <mergeCell ref="A17:I17"/>
    <mergeCell ref="A19:C19"/>
    <mergeCell ref="A131:I133"/>
    <mergeCell ref="A137:I138"/>
    <mergeCell ref="A139:I158"/>
    <mergeCell ref="A124:I128"/>
    <mergeCell ref="A134:I135"/>
    <mergeCell ref="A136:I136"/>
    <mergeCell ref="A129:I130"/>
    <mergeCell ref="A1:D1"/>
    <mergeCell ref="A2:I2"/>
    <mergeCell ref="A4:A5"/>
    <mergeCell ref="B4:I4"/>
    <mergeCell ref="B5:C5"/>
    <mergeCell ref="D5:E5"/>
    <mergeCell ref="F5:G5"/>
    <mergeCell ref="H5:I5"/>
    <mergeCell ref="B8:C8"/>
    <mergeCell ref="D8:E8"/>
    <mergeCell ref="F8:G8"/>
    <mergeCell ref="H8:I8"/>
    <mergeCell ref="B9:C9"/>
    <mergeCell ref="D9:E9"/>
    <mergeCell ref="F9:G9"/>
    <mergeCell ref="H9:I9"/>
    <mergeCell ref="B15:C15"/>
    <mergeCell ref="D15:E15"/>
    <mergeCell ref="F15:G15"/>
    <mergeCell ref="H15:I15"/>
    <mergeCell ref="B12:C12"/>
    <mergeCell ref="D12:E12"/>
    <mergeCell ref="F12:G12"/>
    <mergeCell ref="H12:I12"/>
    <mergeCell ref="B13:C13"/>
    <mergeCell ref="D13:E13"/>
    <mergeCell ref="J25:M25"/>
    <mergeCell ref="A120:I120"/>
    <mergeCell ref="A121:I121"/>
    <mergeCell ref="A122:I122"/>
    <mergeCell ref="A20:C20"/>
    <mergeCell ref="B21:C21"/>
    <mergeCell ref="B22:C22"/>
    <mergeCell ref="A25:A26"/>
    <mergeCell ref="B25:C25"/>
    <mergeCell ref="D25:E25"/>
    <mergeCell ref="B6:I6"/>
    <mergeCell ref="B7:I7"/>
    <mergeCell ref="B14:C14"/>
    <mergeCell ref="D14:E14"/>
    <mergeCell ref="F14:G14"/>
    <mergeCell ref="H14:I14"/>
    <mergeCell ref="F13:G13"/>
    <mergeCell ref="H13:I13"/>
    <mergeCell ref="B10:C10"/>
    <mergeCell ref="D10:E10"/>
    <mergeCell ref="F10:G10"/>
    <mergeCell ref="H10:I10"/>
    <mergeCell ref="B11:C11"/>
    <mergeCell ref="D11:E11"/>
    <mergeCell ref="F11:G11"/>
    <mergeCell ref="H11:I11"/>
  </mergeCells>
  <dataValidations count="16">
    <dataValidation type="list" allowBlank="1" showInputMessage="1" showErrorMessage="1" sqref="A20:C20">
      <formula1>XLPKA</formula1>
    </dataValidation>
    <dataValidation type="list" allowBlank="1" showInputMessage="1" showErrorMessage="1" sqref="A19:C19">
      <formula1>"Российская Федерация, Республика Беларусь"</formula1>
    </dataValidation>
    <dataValidation type="decimal" operator="lessThanOrEqual" allowBlank="1" showInputMessage="1" showErrorMessage="1" sqref="H9 B9 D9 F9">
      <formula1>3</formula1>
    </dataValidation>
    <dataValidation type="list" allowBlank="1" showInputMessage="1" showErrorMessage="1" sqref="B13 D13 F13 H13">
      <formula1>"да, нет"</formula1>
    </dataValidation>
    <dataValidation type="list" allowBlank="1" showInputMessage="1" showErrorMessage="1" sqref="B6:I6">
      <formula1>CCCMT</formula1>
    </dataValidation>
    <dataValidation type="list" allowBlank="1" showInputMessage="1" showErrorMessage="1" sqref="B7:I7">
      <formula1>RWIPI</formula1>
    </dataValidation>
    <dataValidation type="list" allowBlank="1" showInputMessage="1" showErrorMessage="1" sqref="B8:C8">
      <formula1>FYLTY</formula1>
    </dataValidation>
    <dataValidation type="list" allowBlank="1" showInputMessage="1" showErrorMessage="1" sqref="D8:E8">
      <formula1>SACMX</formula1>
    </dataValidation>
    <dataValidation type="list" allowBlank="1" showInputMessage="1" showErrorMessage="1" sqref="F8:G8">
      <formula1>XCECV</formula1>
    </dataValidation>
    <dataValidation type="list" allowBlank="1" showInputMessage="1" showErrorMessage="1" sqref="H8:I8">
      <formula1>LHMNL</formula1>
    </dataValidation>
    <dataValidation type="list" allowBlank="1" showInputMessage="1" showErrorMessage="1" sqref="B14:I14">
      <formula1>RRWVS</formula1>
    </dataValidation>
    <dataValidation type="list" allowBlank="1" showInputMessage="1" showErrorMessage="1" sqref="B15:I15">
      <formula1>VNVOX</formula1>
    </dataValidation>
    <dataValidation type="list" allowBlank="1" showInputMessage="1" showErrorMessage="1" sqref="B16:C16">
      <formula1>BTYPS</formula1>
    </dataValidation>
    <dataValidation type="list" allowBlank="1" showInputMessage="1" showErrorMessage="1" sqref="D16:E16">
      <formula1>MUGNQ</formula1>
    </dataValidation>
    <dataValidation type="list" allowBlank="1" showInputMessage="1" showErrorMessage="1" sqref="F16:G16">
      <formula1>IANCJ</formula1>
    </dataValidation>
    <dataValidation type="list" allowBlank="1" showInputMessage="1" showErrorMessage="1" sqref="H16:I16">
      <formula1>CEXUI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2" fitToWidth="1" horizontalDpi="300" verticalDpi="300" orientation="portrait" paperSize="9" scale="56" r:id="rId2"/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CC00"/>
    <pageSetUpPr fitToPage="1"/>
  </sheetPr>
  <dimension ref="A1:AH229"/>
  <sheetViews>
    <sheetView zoomScale="75" zoomScaleNormal="75" zoomScaleSheetLayoutView="50" zoomScalePageLayoutView="55" workbookViewId="0" topLeftCell="A1">
      <pane ySplit="16" topLeftCell="A17" activePane="bottomLeft" state="frozen"/>
      <selection pane="topLeft" activeCell="A2" sqref="A2:I2"/>
      <selection pane="bottomLeft" activeCell="A2" sqref="A2:I2"/>
    </sheetView>
  </sheetViews>
  <sheetFormatPr defaultColWidth="9.140625" defaultRowHeight="15"/>
  <cols>
    <col min="1" max="1" width="63.140625" style="2" customWidth="1"/>
    <col min="2" max="2" width="14.00390625" style="2" customWidth="1"/>
    <col min="3" max="3" width="13.140625" style="2" customWidth="1"/>
    <col min="4" max="4" width="15.57421875" style="2" customWidth="1"/>
    <col min="5" max="6" width="14.421875" style="2" customWidth="1"/>
    <col min="7" max="7" width="12.57421875" style="2" customWidth="1"/>
    <col min="8" max="8" width="13.57421875" style="2" customWidth="1"/>
    <col min="9" max="9" width="14.8515625" style="2" customWidth="1"/>
    <col min="10" max="10" width="14.140625" style="2" hidden="1" customWidth="1"/>
    <col min="11" max="11" width="14.00390625" style="2" hidden="1" customWidth="1"/>
    <col min="12" max="13" width="13.7109375" style="2" hidden="1" customWidth="1"/>
    <col min="14" max="14" width="25.28125" style="2" customWidth="1"/>
    <col min="15" max="15" width="15.421875" style="2" customWidth="1"/>
    <col min="16" max="16" width="9.00390625" style="2" customWidth="1"/>
    <col min="17" max="17" width="13.8515625" style="2" customWidth="1"/>
    <col min="18" max="18" width="10.8515625" style="2" customWidth="1"/>
    <col min="19" max="16384" width="9.140625" style="2" customWidth="1"/>
  </cols>
  <sheetData>
    <row r="1" spans="1:9" ht="12.75">
      <c r="A1" s="190"/>
      <c r="B1" s="190"/>
      <c r="C1" s="190"/>
      <c r="D1" s="190"/>
      <c r="E1" s="1"/>
      <c r="F1" s="1"/>
      <c r="H1" s="70" t="s">
        <v>230</v>
      </c>
      <c r="I1" s="4">
        <v>45131</v>
      </c>
    </row>
    <row r="2" spans="1:15" ht="27" customHeight="1" thickBot="1">
      <c r="A2" s="193" t="s">
        <v>367</v>
      </c>
      <c r="B2" s="193"/>
      <c r="C2" s="193"/>
      <c r="D2" s="193"/>
      <c r="E2" s="193"/>
      <c r="F2" s="193"/>
      <c r="G2" s="193"/>
      <c r="H2" s="193"/>
      <c r="I2" s="193"/>
      <c r="J2" s="73"/>
      <c r="K2" s="70"/>
      <c r="L2" s="70"/>
      <c r="O2" s="4"/>
    </row>
    <row r="3" spans="1:15" ht="16.5" customHeight="1">
      <c r="A3" s="5"/>
      <c r="B3" s="6"/>
      <c r="H3" s="7"/>
      <c r="I3" s="7"/>
      <c r="K3" s="8"/>
      <c r="L3" s="8"/>
      <c r="M3" s="8"/>
      <c r="N3" s="9"/>
      <c r="O3" s="9"/>
    </row>
    <row r="4" spans="1:15" ht="16.5" customHeight="1">
      <c r="A4" s="189" t="s">
        <v>263</v>
      </c>
      <c r="B4" s="195" t="s">
        <v>65</v>
      </c>
      <c r="C4" s="195"/>
      <c r="D4" s="195"/>
      <c r="E4" s="195"/>
      <c r="F4" s="195"/>
      <c r="G4" s="195"/>
      <c r="H4" s="195"/>
      <c r="I4" s="195"/>
      <c r="K4" s="8"/>
      <c r="L4" s="8"/>
      <c r="M4" s="8"/>
      <c r="N4" s="9"/>
      <c r="O4" s="9"/>
    </row>
    <row r="5" spans="1:15" ht="16.5" customHeight="1">
      <c r="A5" s="189"/>
      <c r="B5" s="196" t="s">
        <v>71</v>
      </c>
      <c r="C5" s="196"/>
      <c r="D5" s="196" t="s">
        <v>72</v>
      </c>
      <c r="E5" s="196"/>
      <c r="F5" s="196" t="s">
        <v>73</v>
      </c>
      <c r="G5" s="196"/>
      <c r="H5" s="196" t="s">
        <v>74</v>
      </c>
      <c r="I5" s="196"/>
      <c r="N5" s="9"/>
      <c r="O5" s="9"/>
    </row>
    <row r="6" spans="1:15" ht="16.5" customHeight="1">
      <c r="A6" s="97" t="s">
        <v>132</v>
      </c>
      <c r="B6" s="191" t="s">
        <v>267</v>
      </c>
      <c r="C6" s="231"/>
      <c r="D6" s="231"/>
      <c r="E6" s="231"/>
      <c r="F6" s="231"/>
      <c r="G6" s="231"/>
      <c r="H6" s="231"/>
      <c r="I6" s="192"/>
      <c r="N6" s="6" t="s">
        <v>234</v>
      </c>
      <c r="O6" s="9"/>
    </row>
    <row r="7" spans="1:15" ht="41.25" customHeight="1">
      <c r="A7" s="96" t="s">
        <v>373</v>
      </c>
      <c r="B7" s="235">
        <f>IF($B$6="ламель 125",Данные!$J$74,Данные!$J$75)</f>
        <v>2.04</v>
      </c>
      <c r="C7" s="235"/>
      <c r="D7" s="235">
        <f>IF($B$6="ламель 125",Данные!$J$74,Данные!$J$75)</f>
        <v>2.04</v>
      </c>
      <c r="E7" s="235"/>
      <c r="F7" s="235">
        <f>IF($B$6="ламель 125",Данные!$J$74,Данные!$J$75)</f>
        <v>2.04</v>
      </c>
      <c r="G7" s="235"/>
      <c r="H7" s="235">
        <f>IF($B$6="ламель 125",Данные!$J$74,Данные!$J$75)</f>
        <v>2.04</v>
      </c>
      <c r="I7" s="235"/>
      <c r="N7" s="6"/>
      <c r="O7" s="9"/>
    </row>
    <row r="8" spans="1:15" ht="16.5" customHeight="1">
      <c r="A8" s="96" t="s">
        <v>80</v>
      </c>
      <c r="B8" s="194">
        <v>2</v>
      </c>
      <c r="C8" s="194"/>
      <c r="D8" s="194">
        <v>2</v>
      </c>
      <c r="E8" s="194"/>
      <c r="F8" s="194">
        <v>2</v>
      </c>
      <c r="G8" s="194"/>
      <c r="H8" s="194">
        <v>2</v>
      </c>
      <c r="I8" s="194"/>
      <c r="N8" s="6" t="s">
        <v>236</v>
      </c>
      <c r="O8" s="9"/>
    </row>
    <row r="9" spans="1:15" ht="16.5" customHeight="1">
      <c r="A9" s="96" t="s">
        <v>83</v>
      </c>
      <c r="B9" s="194">
        <v>1</v>
      </c>
      <c r="C9" s="194"/>
      <c r="D9" s="194">
        <v>1</v>
      </c>
      <c r="E9" s="194"/>
      <c r="F9" s="194">
        <v>1</v>
      </c>
      <c r="G9" s="194"/>
      <c r="H9" s="194">
        <v>1</v>
      </c>
      <c r="I9" s="194"/>
      <c r="N9" s="6" t="s">
        <v>237</v>
      </c>
      <c r="O9" s="9"/>
    </row>
    <row r="10" spans="1:15" ht="16.5" customHeight="1">
      <c r="A10" s="97" t="s">
        <v>85</v>
      </c>
      <c r="B10" s="194">
        <v>0</v>
      </c>
      <c r="C10" s="194"/>
      <c r="D10" s="194">
        <v>0</v>
      </c>
      <c r="E10" s="194"/>
      <c r="F10" s="194">
        <v>0</v>
      </c>
      <c r="G10" s="194"/>
      <c r="H10" s="194">
        <v>0</v>
      </c>
      <c r="I10" s="194"/>
      <c r="N10" s="6" t="s">
        <v>237</v>
      </c>
      <c r="O10" s="9"/>
    </row>
    <row r="11" spans="1:15" ht="16.5" customHeight="1">
      <c r="A11" s="97" t="s">
        <v>312</v>
      </c>
      <c r="B11" s="194">
        <v>0</v>
      </c>
      <c r="C11" s="194"/>
      <c r="D11" s="194">
        <v>0</v>
      </c>
      <c r="E11" s="194"/>
      <c r="F11" s="194">
        <v>0</v>
      </c>
      <c r="G11" s="194"/>
      <c r="H11" s="194">
        <v>0</v>
      </c>
      <c r="I11" s="194"/>
      <c r="N11" s="6" t="s">
        <v>237</v>
      </c>
      <c r="O11" s="9"/>
    </row>
    <row r="12" spans="1:15" ht="16.5" customHeight="1">
      <c r="A12" s="96" t="s">
        <v>90</v>
      </c>
      <c r="B12" s="194" t="s">
        <v>91</v>
      </c>
      <c r="C12" s="194"/>
      <c r="D12" s="194" t="s">
        <v>91</v>
      </c>
      <c r="E12" s="194"/>
      <c r="F12" s="194" t="s">
        <v>91</v>
      </c>
      <c r="G12" s="194"/>
      <c r="H12" s="194" t="s">
        <v>91</v>
      </c>
      <c r="I12" s="194"/>
      <c r="N12" s="6" t="s">
        <v>234</v>
      </c>
      <c r="O12" s="9"/>
    </row>
    <row r="13" spans="1:15" ht="12.75">
      <c r="A13" s="96" t="s">
        <v>270</v>
      </c>
      <c r="B13" s="197" t="s">
        <v>91</v>
      </c>
      <c r="C13" s="198"/>
      <c r="D13" s="197" t="s">
        <v>91</v>
      </c>
      <c r="E13" s="198"/>
      <c r="F13" s="197" t="s">
        <v>91</v>
      </c>
      <c r="G13" s="198"/>
      <c r="H13" s="197" t="s">
        <v>91</v>
      </c>
      <c r="I13" s="198"/>
      <c r="N13" s="6" t="s">
        <v>234</v>
      </c>
      <c r="O13" s="9"/>
    </row>
    <row r="14" spans="1:15" ht="32.25" customHeight="1">
      <c r="A14" s="96" t="s">
        <v>271</v>
      </c>
      <c r="B14" s="197" t="s">
        <v>91</v>
      </c>
      <c r="C14" s="198"/>
      <c r="D14" s="197" t="s">
        <v>91</v>
      </c>
      <c r="E14" s="198"/>
      <c r="F14" s="197" t="s">
        <v>91</v>
      </c>
      <c r="G14" s="198"/>
      <c r="H14" s="197" t="s">
        <v>91</v>
      </c>
      <c r="I14" s="198"/>
      <c r="N14" s="6" t="s">
        <v>234</v>
      </c>
      <c r="O14" s="9"/>
    </row>
    <row r="15" spans="1:15" ht="12.75">
      <c r="A15" s="96" t="s">
        <v>285</v>
      </c>
      <c r="B15" s="197" t="s">
        <v>28</v>
      </c>
      <c r="C15" s="198"/>
      <c r="D15" s="197" t="s">
        <v>28</v>
      </c>
      <c r="E15" s="198"/>
      <c r="F15" s="197" t="s">
        <v>28</v>
      </c>
      <c r="G15" s="198"/>
      <c r="H15" s="197" t="s">
        <v>28</v>
      </c>
      <c r="I15" s="198"/>
      <c r="N15" s="6" t="s">
        <v>234</v>
      </c>
      <c r="O15" s="9"/>
    </row>
    <row r="16" spans="1:15" ht="30.75" customHeight="1">
      <c r="A16" s="188"/>
      <c r="B16" s="188"/>
      <c r="C16" s="188"/>
      <c r="D16" s="188"/>
      <c r="E16" s="188"/>
      <c r="F16" s="188"/>
      <c r="G16" s="188"/>
      <c r="H16" s="188"/>
      <c r="I16" s="188"/>
      <c r="K16" s="8"/>
      <c r="L16" s="8"/>
      <c r="M16" s="8"/>
      <c r="N16" s="9"/>
      <c r="O16" s="9"/>
    </row>
    <row r="17" spans="8:15" ht="16.5" customHeight="1">
      <c r="H17" s="7"/>
      <c r="I17" s="7"/>
      <c r="K17" s="8"/>
      <c r="L17" s="8"/>
      <c r="M17" s="8"/>
      <c r="N17" s="9"/>
      <c r="O17" s="9"/>
    </row>
    <row r="18" spans="1:15" ht="16.5" customHeight="1">
      <c r="A18" s="203" t="s">
        <v>345</v>
      </c>
      <c r="B18" s="203"/>
      <c r="C18" s="203"/>
      <c r="D18" s="6" t="s">
        <v>346</v>
      </c>
      <c r="H18" s="7"/>
      <c r="I18" s="7"/>
      <c r="K18" s="8"/>
      <c r="L18" s="8"/>
      <c r="M18" s="8"/>
      <c r="N18" s="9"/>
      <c r="O18" s="9"/>
    </row>
    <row r="19" spans="1:15" ht="21.75" customHeight="1">
      <c r="A19" s="203" t="s">
        <v>235</v>
      </c>
      <c r="B19" s="203"/>
      <c r="C19" s="203"/>
      <c r="D19" s="6" t="s">
        <v>240</v>
      </c>
      <c r="H19" s="7"/>
      <c r="I19" s="7"/>
      <c r="K19" s="8"/>
      <c r="L19" s="8"/>
      <c r="M19" s="8"/>
      <c r="N19" s="9"/>
      <c r="O19" s="9"/>
    </row>
    <row r="20" spans="1:15" ht="31.5" customHeight="1">
      <c r="A20" s="47" t="s">
        <v>264</v>
      </c>
      <c r="B20" s="223">
        <f>IF(A18="Республика Беларусь",(J115+K115+L115+M115)*Belarus,J115+K115+L115+M115)</f>
        <v>57062.68</v>
      </c>
      <c r="C20" s="223"/>
      <c r="D20" s="233" t="s">
        <v>287</v>
      </c>
      <c r="E20" s="234"/>
      <c r="F20" s="234"/>
      <c r="G20" s="234"/>
      <c r="H20" s="234"/>
      <c r="I20" s="234"/>
      <c r="K20" s="8"/>
      <c r="L20" s="8"/>
      <c r="M20" s="8"/>
      <c r="N20" s="9"/>
      <c r="O20" s="9"/>
    </row>
    <row r="21" spans="1:15" ht="16.5" customHeight="1">
      <c r="A21" s="67" t="s">
        <v>260</v>
      </c>
      <c r="B21" s="201">
        <f>IF(OR(B9=0,B8=0),0,B20/(B9*B8+D9*D8+F9*F8+H9*H8))</f>
        <v>7132.835</v>
      </c>
      <c r="C21" s="201"/>
      <c r="H21" s="7"/>
      <c r="I21" s="7"/>
      <c r="K21" s="8"/>
      <c r="L21" s="8"/>
      <c r="M21" s="8"/>
      <c r="N21" s="9"/>
      <c r="O21" s="9"/>
    </row>
    <row r="22" spans="1:15" ht="16.5" customHeight="1">
      <c r="A22" s="6" t="s">
        <v>258</v>
      </c>
      <c r="B22" s="6"/>
      <c r="H22" s="7"/>
      <c r="I22" s="7"/>
      <c r="K22" s="8"/>
      <c r="L22" s="8"/>
      <c r="M22" s="8"/>
      <c r="N22" s="9"/>
      <c r="O22" s="9"/>
    </row>
    <row r="23" spans="1:15" ht="16.5" customHeight="1">
      <c r="A23" s="5"/>
      <c r="B23" s="6"/>
      <c r="H23" s="7"/>
      <c r="I23" s="7"/>
      <c r="K23" s="8"/>
      <c r="L23" s="8"/>
      <c r="M23" s="8"/>
      <c r="N23" s="9"/>
      <c r="O23" s="9"/>
    </row>
    <row r="24" spans="1:15" ht="16.5" customHeight="1">
      <c r="A24" s="195" t="s">
        <v>265</v>
      </c>
      <c r="B24" s="220" t="s">
        <v>2</v>
      </c>
      <c r="C24" s="221"/>
      <c r="D24" s="221" t="s">
        <v>3</v>
      </c>
      <c r="E24" s="221"/>
      <c r="F24" s="221" t="s">
        <v>4</v>
      </c>
      <c r="G24" s="221"/>
      <c r="H24" s="221" t="s">
        <v>5</v>
      </c>
      <c r="I24" s="222"/>
      <c r="J24" s="217" t="s">
        <v>6</v>
      </c>
      <c r="K24" s="217"/>
      <c r="L24" s="217"/>
      <c r="M24" s="217"/>
      <c r="O24" s="9"/>
    </row>
    <row r="25" spans="1:15" ht="16.5" customHeight="1">
      <c r="A25" s="195"/>
      <c r="B25" s="98" t="s">
        <v>15</v>
      </c>
      <c r="C25" s="99" t="s">
        <v>16</v>
      </c>
      <c r="D25" s="100" t="s">
        <v>15</v>
      </c>
      <c r="E25" s="99" t="s">
        <v>16</v>
      </c>
      <c r="F25" s="100" t="s">
        <v>15</v>
      </c>
      <c r="G25" s="99" t="s">
        <v>16</v>
      </c>
      <c r="H25" s="100" t="s">
        <v>15</v>
      </c>
      <c r="I25" s="98" t="s">
        <v>16</v>
      </c>
      <c r="J25" s="74">
        <v>1</v>
      </c>
      <c r="K25" s="74">
        <v>2</v>
      </c>
      <c r="L25" s="74">
        <v>3</v>
      </c>
      <c r="M25" s="74">
        <v>4</v>
      </c>
      <c r="O25" s="9"/>
    </row>
    <row r="26" spans="1:15" ht="16.5" customHeight="1">
      <c r="A26" s="101" t="s">
        <v>155</v>
      </c>
      <c r="B26" s="101"/>
      <c r="C26" s="102"/>
      <c r="D26" s="103"/>
      <c r="E26" s="104"/>
      <c r="F26" s="103"/>
      <c r="G26" s="104"/>
      <c r="H26" s="103"/>
      <c r="I26" s="105"/>
      <c r="J26" s="75"/>
      <c r="K26" s="75"/>
      <c r="L26" s="75"/>
      <c r="M26" s="75"/>
      <c r="O26" s="9"/>
    </row>
    <row r="27" spans="1:15" ht="16.5" customHeight="1">
      <c r="A27" s="67" t="s">
        <v>120</v>
      </c>
      <c r="B27" s="78">
        <f>IF(C27=0,0,B8-0.01)</f>
        <v>1.99</v>
      </c>
      <c r="C27" s="79">
        <f>IF($B$6="ламель 125",IF(B9=0,0,B9*Данные!$L$74),0)</f>
        <v>13</v>
      </c>
      <c r="D27" s="78">
        <f>IF(E27=0,0,D8-0.01)</f>
        <v>1.99</v>
      </c>
      <c r="E27" s="79">
        <f>IF($B$6="ламель 125",IF(D9=0,0,D9*Данные!$L$74),0)</f>
        <v>13</v>
      </c>
      <c r="F27" s="78">
        <f>IF(G27=0,0,F8-0.01)</f>
        <v>1.99</v>
      </c>
      <c r="G27" s="79">
        <f>IF($B$6="ламель 125",IF(F9=0,0,F9*Данные!$L$74),0)</f>
        <v>13</v>
      </c>
      <c r="H27" s="80">
        <f>IF(I27=0,0,H8-0.01)</f>
        <v>1.99</v>
      </c>
      <c r="I27" s="81">
        <f>IF($B$6="ламель 125",IF(H9=0,0,H9*Данные!$L$74),0)</f>
        <v>13</v>
      </c>
      <c r="J27" s="76">
        <f>IF(C27=0,0,VLOOKUP($A$19,'Цены Жалюзи'!$B$130:$R$154,2,FALSE)*B27*C27)</f>
        <v>6570.98</v>
      </c>
      <c r="K27" s="76">
        <f>IF(E27=0,0,VLOOKUP($A$19,'Цены Жалюзи'!$B$130:$R$154,2,FALSE)*D27*E27)</f>
        <v>6570.98</v>
      </c>
      <c r="L27" s="76">
        <f>IF(G27=0,0,VLOOKUP($A$19,'Цены Жалюзи'!$B$130:$R$154,2,FALSE)*F27*G27)</f>
        <v>6570.98</v>
      </c>
      <c r="M27" s="76">
        <f>IF(I27=0,0,VLOOKUP($A$19,'Цены Жалюзи'!$B$130:$R$154,2,FALSE)*H27*I27)</f>
        <v>6570.98</v>
      </c>
      <c r="O27" s="9"/>
    </row>
    <row r="28" spans="1:15" ht="16.5" customHeight="1">
      <c r="A28" s="67" t="s">
        <v>121</v>
      </c>
      <c r="B28" s="78">
        <f aca="true" t="shared" si="0" ref="B28:I28">B27</f>
        <v>1.99</v>
      </c>
      <c r="C28" s="79">
        <f t="shared" si="0"/>
        <v>13</v>
      </c>
      <c r="D28" s="78">
        <f t="shared" si="0"/>
        <v>1.99</v>
      </c>
      <c r="E28" s="79">
        <f t="shared" si="0"/>
        <v>13</v>
      </c>
      <c r="F28" s="78">
        <f t="shared" si="0"/>
        <v>1.99</v>
      </c>
      <c r="G28" s="79">
        <f t="shared" si="0"/>
        <v>13</v>
      </c>
      <c r="H28" s="80">
        <f t="shared" si="0"/>
        <v>1.99</v>
      </c>
      <c r="I28" s="81">
        <f t="shared" si="0"/>
        <v>13</v>
      </c>
      <c r="J28" s="76">
        <f>IF(C28=0,0,VLOOKUP($A$19,'Цены Жалюзи'!$B$130:$R$154,3,FALSE)*B28*C28)</f>
        <v>5044.650000000001</v>
      </c>
      <c r="K28" s="76">
        <f>IF(E28=0,0,VLOOKUP($A$19,'Цены Жалюзи'!$B$130:$R$154,3,FALSE)*D28*E28)</f>
        <v>5044.650000000001</v>
      </c>
      <c r="L28" s="76">
        <f>IF(G28=0,0,VLOOKUP($A$19,'Цены Жалюзи'!$B$130:$R$154,3,FALSE)*F28*G28)</f>
        <v>5044.650000000001</v>
      </c>
      <c r="M28" s="76">
        <f>IF(I28=0,0,VLOOKUP($A$19,'Цены Жалюзи'!$B$130:$R$154,3,FALSE)*H28*I28)</f>
        <v>5044.650000000001</v>
      </c>
      <c r="O28" s="9"/>
    </row>
    <row r="29" spans="1:15" ht="16.5" customHeight="1">
      <c r="A29" s="67" t="s">
        <v>122</v>
      </c>
      <c r="B29" s="78">
        <f>IF(C29=0,0,B8-0.01)</f>
        <v>0</v>
      </c>
      <c r="C29" s="79">
        <f>IF($B$6="ламель 150",Данные!$L$75,0)</f>
        <v>0</v>
      </c>
      <c r="D29" s="78">
        <f>IF(E29=0,0,D8-0.01)</f>
        <v>0</v>
      </c>
      <c r="E29" s="79">
        <f>IF($B$6="ламель 150",Данные!$L$75,0)</f>
        <v>0</v>
      </c>
      <c r="F29" s="78">
        <f>IF(G29=0,0,F8-0.01)</f>
        <v>0</v>
      </c>
      <c r="G29" s="79">
        <f>IF($B$6="ламель 150",Данные!$L$75,0)</f>
        <v>0</v>
      </c>
      <c r="H29" s="80">
        <f>IF(I29=0,0,H8-0.01)</f>
        <v>0</v>
      </c>
      <c r="I29" s="81">
        <f>IF($B$6="ламель 150",Данные!$L$75,0)</f>
        <v>0</v>
      </c>
      <c r="J29" s="76">
        <f>IF(C29=0,0,VLOOKUP($A$19,'Цены Жалюзи'!$B$130:$R$154,4,FALSE)*B29*C29)</f>
        <v>0</v>
      </c>
      <c r="K29" s="76">
        <f>IF(E29=0,0,VLOOKUP($A$19,'Цены Жалюзи'!$B$130:$R$154,4,FALSE)*D29*E29)</f>
        <v>0</v>
      </c>
      <c r="L29" s="76">
        <f>IF(G29=0,0,VLOOKUP($A$19,'Цены Жалюзи'!$B$130:$R$154,4,FALSE)*F29*G29)</f>
        <v>0</v>
      </c>
      <c r="M29" s="76">
        <f>IF(I29=0,0,VLOOKUP($A$19,'Цены Жалюзи'!$B$130:$R$154,4,FALSE)*H29*I29)</f>
        <v>0</v>
      </c>
      <c r="O29" s="9"/>
    </row>
    <row r="30" spans="1:15" ht="16.5" customHeight="1">
      <c r="A30" s="67" t="s">
        <v>123</v>
      </c>
      <c r="B30" s="78">
        <f aca="true" t="shared" si="1" ref="B30:I30">B29</f>
        <v>0</v>
      </c>
      <c r="C30" s="79">
        <f t="shared" si="1"/>
        <v>0</v>
      </c>
      <c r="D30" s="78">
        <f t="shared" si="1"/>
        <v>0</v>
      </c>
      <c r="E30" s="79">
        <f t="shared" si="1"/>
        <v>0</v>
      </c>
      <c r="F30" s="78">
        <f t="shared" si="1"/>
        <v>0</v>
      </c>
      <c r="G30" s="79">
        <f t="shared" si="1"/>
        <v>0</v>
      </c>
      <c r="H30" s="80">
        <f t="shared" si="1"/>
        <v>0</v>
      </c>
      <c r="I30" s="81">
        <f t="shared" si="1"/>
        <v>0</v>
      </c>
      <c r="J30" s="76">
        <f>IF(C30=0,0,VLOOKUP($A$19,'Цены Жалюзи'!$B$130:$R$154,5,FALSE)*B30*C30)</f>
        <v>0</v>
      </c>
      <c r="K30" s="76">
        <f>IF(E30=0,0,VLOOKUP($A$19,'Цены Жалюзи'!$B$130:$R$154,5,FALSE)*D30*E30)</f>
        <v>0</v>
      </c>
      <c r="L30" s="76">
        <f>IF(G30=0,0,VLOOKUP($A$19,'Цены Жалюзи'!$B$130:$R$154,5,FALSE)*F30*G30)</f>
        <v>0</v>
      </c>
      <c r="M30" s="76">
        <f>IF(I30=0,0,VLOOKUP($A$19,'Цены Жалюзи'!$B$130:$R$154,5,FALSE)*H30*I30)</f>
        <v>0</v>
      </c>
      <c r="O30" s="9"/>
    </row>
    <row r="31" spans="1:15" ht="16.5" customHeight="1">
      <c r="A31" s="67" t="s">
        <v>127</v>
      </c>
      <c r="B31" s="78">
        <f>IF($B$6="ламель 125",Данные!$K$74,Данные!$K$75)</f>
        <v>25</v>
      </c>
      <c r="C31" s="79"/>
      <c r="D31" s="78">
        <f>IF($B$6="ламель 125",Данные!$K$74,Данные!$K$75)</f>
        <v>25</v>
      </c>
      <c r="E31" s="79"/>
      <c r="F31" s="78">
        <f>IF($B$6="ламель 125",Данные!$K$74,Данные!$K$75)</f>
        <v>25</v>
      </c>
      <c r="G31" s="79"/>
      <c r="H31" s="78">
        <f>IF($B$6="ламель 125",Данные!$K$74,Данные!$K$75)</f>
        <v>25</v>
      </c>
      <c r="I31" s="81"/>
      <c r="J31" s="76"/>
      <c r="K31" s="76"/>
      <c r="L31" s="76"/>
      <c r="M31" s="76"/>
      <c r="O31" s="9"/>
    </row>
    <row r="32" spans="1:15" ht="16.5" customHeight="1">
      <c r="A32" s="67" t="s">
        <v>124</v>
      </c>
      <c r="B32" s="78">
        <f>IF(C32=0,0,B8)</f>
        <v>0</v>
      </c>
      <c r="C32" s="79">
        <f>IF(C34&gt;0,0,IF($B$6="ламель 125",B9,0))</f>
        <v>0</v>
      </c>
      <c r="D32" s="78">
        <f>IF(E32=0,0,D8)</f>
        <v>0</v>
      </c>
      <c r="E32" s="79">
        <f>IF(E34&gt;0,0,IF($B$6="ламель 125",D9,0))</f>
        <v>0</v>
      </c>
      <c r="F32" s="78">
        <f>IF(G32=0,0,F8)</f>
        <v>0</v>
      </c>
      <c r="G32" s="79">
        <f>IF(G34&gt;0,0,IF($B$6="ламель 125",F9,0))</f>
        <v>0</v>
      </c>
      <c r="H32" s="80">
        <f>IF(I32=0,0,H8)</f>
        <v>0</v>
      </c>
      <c r="I32" s="81">
        <f>IF(I34&gt;0,0,IF($B$6="ламель 125",H9,0))</f>
        <v>0</v>
      </c>
      <c r="J32" s="76">
        <f>IF(C32=0,0,VLOOKUP($A$19,'Цены Жалюзи'!$B$130:$R$154,6,FALSE)*B32*C32)</f>
        <v>0</v>
      </c>
      <c r="K32" s="76">
        <f>IF(E32=0,0,VLOOKUP($A$19,'Цены Жалюзи'!$B$130:$R$154,6,FALSE)*D32*E32)</f>
        <v>0</v>
      </c>
      <c r="L32" s="76">
        <f>IF(G32=0,0,VLOOKUP($A$19,'Цены Жалюзи'!$B$130:$R$154,6,FALSE)*F32*G32)</f>
        <v>0</v>
      </c>
      <c r="M32" s="76">
        <f>IF(I32=0,0,VLOOKUP($A$19,'Цены Жалюзи'!$B$130:$R$154,6,FALSE)*H32*I32)</f>
        <v>0</v>
      </c>
      <c r="O32" s="9"/>
    </row>
    <row r="33" spans="1:15" ht="16.5" customHeight="1">
      <c r="A33" s="67" t="s">
        <v>125</v>
      </c>
      <c r="B33" s="78">
        <f>IF(C33=0,0,B8)</f>
        <v>0</v>
      </c>
      <c r="C33" s="79">
        <f>IF(C34&gt;0,0,IF($B$6="ламель 150",B9,0))</f>
        <v>0</v>
      </c>
      <c r="D33" s="78">
        <f>IF(E33=0,0,D8)</f>
        <v>0</v>
      </c>
      <c r="E33" s="79">
        <f>IF(E34&gt;0,0,IF($B$6="ламель 150",D9,0))</f>
        <v>0</v>
      </c>
      <c r="F33" s="78">
        <f>IF(G33=0,0,F8)</f>
        <v>0</v>
      </c>
      <c r="G33" s="79">
        <f>IF(G34&gt;0,0,IF($B$6="ламель 150",F9,0))</f>
        <v>0</v>
      </c>
      <c r="H33" s="80">
        <f>IF(I33=0,0,H8)</f>
        <v>0</v>
      </c>
      <c r="I33" s="81">
        <f>IF(I34&gt;0,0,IF($B$6="ламель 150",H9,0))</f>
        <v>0</v>
      </c>
      <c r="J33" s="76">
        <f>IF(C33=0,0,VLOOKUP($A$19,'Цены Жалюзи'!$B$130:$R$154,7,FALSE)*B33*C33)</f>
        <v>0</v>
      </c>
      <c r="K33" s="76">
        <f>IF(E33=0,0,VLOOKUP($A$19,'Цены Жалюзи'!$B$130:$R$154,7,FALSE)*D33*E33)</f>
        <v>0</v>
      </c>
      <c r="L33" s="76">
        <f>IF(G33=0,0,VLOOKUP($A$19,'Цены Жалюзи'!$B$130:$R$154,7,FALSE)*F33*G33)</f>
        <v>0</v>
      </c>
      <c r="M33" s="76">
        <f>IF(I33=0,0,VLOOKUP($A$19,'Цены Жалюзи'!$B$130:$R$154,7,FALSE)*H33*I33)</f>
        <v>0</v>
      </c>
      <c r="O33" s="9"/>
    </row>
    <row r="34" spans="1:15" ht="16.5" customHeight="1">
      <c r="A34" s="67" t="s">
        <v>326</v>
      </c>
      <c r="B34" s="78">
        <f>IF(C34=0,0,B8)</f>
        <v>2</v>
      </c>
      <c r="C34" s="79">
        <f>IF(OR(B8=2,B8&gt;2),B9,0)</f>
        <v>1</v>
      </c>
      <c r="D34" s="78">
        <f>IF(E34=0,0,D8)</f>
        <v>2</v>
      </c>
      <c r="E34" s="79">
        <f>IF(OR(D8=2,D8&gt;2),D9,0)</f>
        <v>1</v>
      </c>
      <c r="F34" s="78">
        <f>IF(G34=0,0,F8)</f>
        <v>2</v>
      </c>
      <c r="G34" s="79">
        <f>IF(OR(F8=2,F8&gt;2),F9,0)</f>
        <v>1</v>
      </c>
      <c r="H34" s="80">
        <f>IF(I34=0,0,H8)</f>
        <v>2</v>
      </c>
      <c r="I34" s="81">
        <f>IF(OR(H8=2,H8&gt;2),H9,0)</f>
        <v>1</v>
      </c>
      <c r="J34" s="76">
        <f>IF(C34=0,0,VLOOKUP($A$19,'Цены Жалюзи'!$B$130:$R$154,8,FALSE)*B34*C34)</f>
        <v>294</v>
      </c>
      <c r="K34" s="76">
        <f>IF(E34=0,0,VLOOKUP($A$19,'Цены Жалюзи'!$B$130:$R$154,8,FALSE)*D34*E34)</f>
        <v>294</v>
      </c>
      <c r="L34" s="76">
        <f>IF(G34=0,0,VLOOKUP($A$19,'Цены Жалюзи'!$B$130:$R$154,8,FALSE)*F34*G34)</f>
        <v>294</v>
      </c>
      <c r="M34" s="76">
        <f>IF(I34=0,0,VLOOKUP($A$19,'Цены Жалюзи'!$B$130:$R$154,8,FALSE)*H34*I34)</f>
        <v>294</v>
      </c>
      <c r="O34" s="9"/>
    </row>
    <row r="35" spans="1:13" ht="16.5" customHeight="1">
      <c r="A35" s="67" t="s">
        <v>7</v>
      </c>
      <c r="B35" s="78">
        <f>IF(AND(B7&gt;0,B12="да"),0,B7)</f>
        <v>2.04</v>
      </c>
      <c r="C35" s="79">
        <f>IF(B35=0,0,IF(B9=0,0,IF(B9=1,2*2,IF(B11=0,(B9+1)*2-C36,(B9+1+B11)*2-C36))))</f>
        <v>4</v>
      </c>
      <c r="D35" s="78">
        <f>IF(AND(D7&gt;0,D12="да"),0,D7)</f>
        <v>2.04</v>
      </c>
      <c r="E35" s="79">
        <f>IF(D35=0,0,IF(D9=0,0,IF(D9=1,2*2,IF(D11=0,(D9+1)*2-E36,(D9+1+D11)*2-E36))))</f>
        <v>4</v>
      </c>
      <c r="F35" s="78">
        <f>IF(AND(F7&gt;0,F12="да"),0,F7)</f>
        <v>2.04</v>
      </c>
      <c r="G35" s="79">
        <f>IF(F35=0,0,IF(F9=0,0,IF(F9=1,2*2,IF(F11=0,(F9+1)*2-G36,(F9+1+F11)*2-G36))))</f>
        <v>4</v>
      </c>
      <c r="H35" s="80">
        <f>IF(AND(H7&gt;0,H12="да"),0,H7)</f>
        <v>2.04</v>
      </c>
      <c r="I35" s="81">
        <f>IF(H35=0,0,IF(H9=0,0,IF(H9=1,2*2,IF(H11=0,(H9+1)*2-I36,(H9+1+H11)*2-I36))))</f>
        <v>4</v>
      </c>
      <c r="J35" s="76">
        <f>IF(C35=0,0,IF(B15="столб 62х55",VLOOKUP($A$19,'Цены Жалюзи'!$B$130:$R$154,10,FALSE)*B35*C35,IF(B15="столб 60х60",VLOOKUP($A$19,'Цены Жалюзи'!$B$130:$R$154,11,FALSE)*B35*C35,IF(B15="столб 80х80",VLOOKUP($A$19,'Цены Жалюзи'!$B$130:$R$154,12,FALSE)*B35*C35,0))))</f>
        <v>0</v>
      </c>
      <c r="K35" s="76">
        <f>IF(E35=0,0,IF(D15="столб 62х55",VLOOKUP($A$19,'Цены Жалюзи'!$B$130:$R$154,10,FALSE)*D35*E35,IF(D15="столб 60х60",VLOOKUP($A$19,'Цены Жалюзи'!$B$130:$R$154,11,FALSE)*D35*E35,IF(D15="столб 80х80",VLOOKUP($A$19,'Цены Жалюзи'!$B$130:$R$154,12,FALSE)*D35*E35,0))))</f>
        <v>0</v>
      </c>
      <c r="L35" s="76">
        <f>IF(G35=0,0,IF(F15="столб 62х55",VLOOKUP($A$19,'Цены Жалюзи'!$B$130:$R$154,10,FALSE)*F35*G35,IF(F15="столб 60х60",VLOOKUP($A$19,'Цены Жалюзи'!$B$130:$R$154,11,FALSE)*F35*G35,IF(F15="столб 80х80",VLOOKUP($A$19,'Цены Жалюзи'!$B$130:$R$154,12,FALSE)*F35*G35,0))))</f>
        <v>0</v>
      </c>
      <c r="M35" s="76">
        <f>IF(I35=0,0,IF(H15="столб 62х55",VLOOKUP($A$19,'Цены Жалюзи'!$B$130:$R$154,10,FALSE)*H35*I35,IF(H15="столб 60х60",VLOOKUP($A$19,'Цены Жалюзи'!$B$130:$R$154,11,FALSE)*H35*I35,IF(H15="столб 80х80",VLOOKUP($A$19,'Цены Жалюзи'!$B$130:$R$154,12,FALSE)*H35*I35,0))))</f>
        <v>0</v>
      </c>
    </row>
    <row r="36" spans="1:13" ht="16.5" customHeight="1">
      <c r="A36" s="67" t="s">
        <v>25</v>
      </c>
      <c r="B36" s="78">
        <f>IF(OR(AND(B10=0,B11=0),B12="да"),0,B7)</f>
        <v>0</v>
      </c>
      <c r="C36" s="79">
        <f>IF(B36=0,0,B10*2*2+B11*2)</f>
        <v>0</v>
      </c>
      <c r="D36" s="78">
        <f>IF(OR(AND(D10=0,D11=0),D12="да"),0,D7)</f>
        <v>0</v>
      </c>
      <c r="E36" s="79">
        <f>IF(D36=0,0,D10*2*2+D11*2)</f>
        <v>0</v>
      </c>
      <c r="F36" s="78">
        <f>IF(OR(AND(F10=0,F11=0),F12="да"),0,F7)</f>
        <v>0</v>
      </c>
      <c r="G36" s="79">
        <f>IF(F36=0,0,F10*2*2+F11*2)</f>
        <v>0</v>
      </c>
      <c r="H36" s="80">
        <f>IF(OR(AND(H10=0,H11=0),H12="да"),0,H7)</f>
        <v>0</v>
      </c>
      <c r="I36" s="81">
        <f>IF(H36=0,0,H10*2*2+H11*2)</f>
        <v>0</v>
      </c>
      <c r="J36" s="76">
        <f>IF(C36=0,0,IF(B15="столб 62х55",VLOOKUP($A$19,'Цены Жалюзи'!$B$130:$R$154,13,FALSE)*B36*C36,IF(B15="столб 60х60",VLOOKUP($A$19,'Цены Жалюзи'!$B$130:$R$154,14,FALSE)*B36*C36,IF(B15="столб 80х80",VLOOKUP($A$19,'Цены Жалюзи'!$B$130:$R$154,15,FALSE)*B36*C36,0))))</f>
        <v>0</v>
      </c>
      <c r="K36" s="76">
        <f>IF(E36=0,0,IF(D15="столб 62х55",VLOOKUP($A$19,'Цены Жалюзи'!$B$130:$R$154,13,FALSE)*D36*E36,IF(D15="столб 60х60",VLOOKUP($A$19,'Цены Жалюзи'!$B$130:$R$154,14,FALSE)*D36*E36,IF(D15="столб 80х80",VLOOKUP($A$19,'Цены Жалюзи'!$B$130:$R$154,15,FALSE)*D36*E36,0))))</f>
        <v>0</v>
      </c>
      <c r="L36" s="76">
        <f>IF(G36=0,0,IF(F15="столб 62х55",VLOOKUP($A$19,'Цены Жалюзи'!$B$130:$R$154,13,FALSE)*F36*G36,IF(F15="столб 60х60",VLOOKUP($A$19,'Цены Жалюзи'!$B$130:$R$154,14,FALSE)*F36*G36,IF(F15="столб 80х80",VLOOKUP($A$19,'Цены Жалюзи'!$B$130:$R$154,15,FALSE)*F36*G36,0))))</f>
        <v>0</v>
      </c>
      <c r="M36" s="76">
        <f>IF(I36=0,0,IF(H15="столб 62х55",VLOOKUP($A$19,'Цены Жалюзи'!$B$130:$R$154,13,FALSE)*H36*I36,IF(H15="столб 60х60",VLOOKUP($A$19,'Цены Жалюзи'!$B$130:$R$154,14,FALSE)*H36*I36,IF(H15="столб 80х80",VLOOKUP($A$19,'Цены Жалюзи'!$B$130:$R$154,15,FALSE)*H36*I36,0))))</f>
        <v>0</v>
      </c>
    </row>
    <row r="37" spans="1:13" ht="16.5" customHeight="1">
      <c r="A37" s="67" t="s">
        <v>225</v>
      </c>
      <c r="B37" s="78">
        <f>IF(C37=0,0,B7)</f>
        <v>2.04</v>
      </c>
      <c r="C37" s="79">
        <f>IF(OR(B8=2.5,B8&gt;2.5),B9*2,IF(B8&lt;2,0,B9*1))</f>
        <v>1</v>
      </c>
      <c r="D37" s="78">
        <f>IF(E37=0,0,D7)</f>
        <v>2.04</v>
      </c>
      <c r="E37" s="79">
        <f>IF(OR(D8=2.5,D8&gt;2.5),D9*2,IF(D8&lt;2,0,D9*1))</f>
        <v>1</v>
      </c>
      <c r="F37" s="78">
        <f>IF(G37=0,0,F7)</f>
        <v>2.04</v>
      </c>
      <c r="G37" s="79">
        <f>IF(OR(F8=2.5,F8&gt;2.5),F9*2,IF(F8&lt;2,0,F9*1))</f>
        <v>1</v>
      </c>
      <c r="H37" s="80">
        <f>IF(I37=0,0,H7)</f>
        <v>2.04</v>
      </c>
      <c r="I37" s="81">
        <f>IF(OR(H8=2.5,H8&gt;2.5),H9*2,IF(H8&lt;2,0,H9*1))</f>
        <v>1</v>
      </c>
      <c r="J37" s="76">
        <f>IF(C37=0,0,VLOOKUP($A$19,'Цены Жалюзи'!$B$130:$R$154,16,FALSE)*B37*C37)</f>
        <v>208.08</v>
      </c>
      <c r="K37" s="76">
        <f>IF(E37=0,0,VLOOKUP($A$19,'Цены Жалюзи'!$B$130:$R$154,16,FALSE)*D37*E37)</f>
        <v>208.08</v>
      </c>
      <c r="L37" s="76">
        <f>IF(G37=0,0,VLOOKUP($A$19,'Цены Жалюзи'!$B$130:$R$154,16,FALSE)*F37*G37)</f>
        <v>208.08</v>
      </c>
      <c r="M37" s="76">
        <f>IF(I37=0,0,VLOOKUP($A$19,'Цены Жалюзи'!$B$130:$R$154,16,FALSE)*H37*I37)</f>
        <v>208.08</v>
      </c>
    </row>
    <row r="38" spans="1:13" ht="16.5" customHeight="1">
      <c r="A38" s="67" t="s">
        <v>226</v>
      </c>
      <c r="B38" s="78">
        <f>IF(C38=0,0,B7)</f>
        <v>2.04</v>
      </c>
      <c r="C38" s="79">
        <f>C37</f>
        <v>1</v>
      </c>
      <c r="D38" s="78">
        <f>IF(E38=0,0,D7)</f>
        <v>2.04</v>
      </c>
      <c r="E38" s="79">
        <f>E37</f>
        <v>1</v>
      </c>
      <c r="F38" s="78">
        <f>IF(G38=0,0,F7)</f>
        <v>2.04</v>
      </c>
      <c r="G38" s="79">
        <f>G37</f>
        <v>1</v>
      </c>
      <c r="H38" s="80">
        <f>IF(I38=0,0,H7)</f>
        <v>2.04</v>
      </c>
      <c r="I38" s="81">
        <f>I37</f>
        <v>1</v>
      </c>
      <c r="J38" s="76">
        <f>IF(C38=0,0,VLOOKUP($A$19,'Цены Жалюзи'!$B$130:$R$154,17,FALSE)*B38*C38)</f>
        <v>220.32</v>
      </c>
      <c r="K38" s="76">
        <f>IF(E38=0,0,VLOOKUP($A$19,'Цены Жалюзи'!$B$130:$R$154,17,FALSE)*D38*E38)</f>
        <v>220.32</v>
      </c>
      <c r="L38" s="76">
        <f>IF(G38=0,0,VLOOKUP($A$19,'Цены Жалюзи'!$B$130:$R$154,17,FALSE)*F38*G38)</f>
        <v>220.32</v>
      </c>
      <c r="M38" s="76">
        <f>IF(I38=0,0,VLOOKUP($A$19,'Цены Жалюзи'!$B$130:$R$154,17,FALSE)*H38*I38)</f>
        <v>220.32</v>
      </c>
    </row>
    <row r="39" spans="1:13" ht="16.5" customHeight="1">
      <c r="A39" s="67" t="s">
        <v>126</v>
      </c>
      <c r="B39" s="78">
        <f>IF(C39=0,0,B7)</f>
        <v>2.04</v>
      </c>
      <c r="C39" s="79">
        <f>2*B9</f>
        <v>2</v>
      </c>
      <c r="D39" s="78">
        <f>IF(E39=0,0,D7)</f>
        <v>2.04</v>
      </c>
      <c r="E39" s="79">
        <f>2*D9</f>
        <v>2</v>
      </c>
      <c r="F39" s="78">
        <f>IF(G39=0,0,F7)</f>
        <v>2.04</v>
      </c>
      <c r="G39" s="79">
        <f>2*F9</f>
        <v>2</v>
      </c>
      <c r="H39" s="80">
        <f>IF(I39=0,0,H7)</f>
        <v>2.04</v>
      </c>
      <c r="I39" s="81">
        <f>2*H9</f>
        <v>2</v>
      </c>
      <c r="J39" s="76">
        <f>IF(C39=0,0,VLOOKUP($A$19,'Цены Жалюзи'!$B$130:$R$154,9,FALSE)*B39*C39)</f>
        <v>522.24</v>
      </c>
      <c r="K39" s="76">
        <f>IF(E39=0,0,VLOOKUP($A$19,'Цены Жалюзи'!$B$130:$R$154,9,FALSE)*D39*E39)</f>
        <v>522.24</v>
      </c>
      <c r="L39" s="76">
        <f>IF(G39=0,0,VLOOKUP($A$19,'Цены Жалюзи'!$B$130:$R$154,9,FALSE)*F39*G39)</f>
        <v>522.24</v>
      </c>
      <c r="M39" s="76">
        <f>IF(I39=0,0,VLOOKUP($A$19,'Цены Жалюзи'!$B$130:$R$154,9,FALSE)*H39*I39)</f>
        <v>522.24</v>
      </c>
    </row>
    <row r="40" spans="1:13" ht="16.5" customHeight="1">
      <c r="A40" s="52" t="s">
        <v>153</v>
      </c>
      <c r="B40" s="82" t="s">
        <v>28</v>
      </c>
      <c r="C40" s="79">
        <f>IF(B12="да",0,(IF(B9=0,0,IF(B9=1,2,IF(B11=0,B9+1,B9+1+B11)))))</f>
        <v>2</v>
      </c>
      <c r="D40" s="82" t="s">
        <v>28</v>
      </c>
      <c r="E40" s="79">
        <f>IF(D12="да",0,(IF(D9=0,0,IF(D9=1,2,IF(D11=0,D9+1,D9+1+D11)))))</f>
        <v>2</v>
      </c>
      <c r="F40" s="82" t="s">
        <v>28</v>
      </c>
      <c r="G40" s="79">
        <f>IF(F12="да",0,(IF(F9=0,0,IF(F9=1,2,IF(F11=0,F9+1,F9+1+F11)))))</f>
        <v>2</v>
      </c>
      <c r="H40" s="83" t="s">
        <v>28</v>
      </c>
      <c r="I40" s="81">
        <f>IF(H12="да",0,(IF(H9=0,0,IF(H9=1,2,IF(H11=0,H9+1,H9+1+H11)))))</f>
        <v>2</v>
      </c>
      <c r="J40" s="76"/>
      <c r="K40" s="76"/>
      <c r="L40" s="76"/>
      <c r="M40" s="76"/>
    </row>
    <row r="41" spans="1:13" ht="16.5" customHeight="1">
      <c r="A41" s="53" t="s">
        <v>129</v>
      </c>
      <c r="B41" s="82" t="str">
        <f>IF(C41=0,"-","4,2x16")</f>
        <v>4,2x16</v>
      </c>
      <c r="C41" s="79">
        <f>IF(B12="да",0,(C39*5))</f>
        <v>10</v>
      </c>
      <c r="D41" s="82" t="str">
        <f>IF(E41=0,"-","4,2x16")</f>
        <v>4,2x16</v>
      </c>
      <c r="E41" s="79">
        <f>IF(D12="да",0,(E39*5))</f>
        <v>10</v>
      </c>
      <c r="F41" s="82" t="str">
        <f>IF(G41=0,"-","4,2x16")</f>
        <v>4,2x16</v>
      </c>
      <c r="G41" s="79">
        <f>IF(F12="да",0,(G39*5))</f>
        <v>10</v>
      </c>
      <c r="H41" s="83" t="str">
        <f>IF(I41=0,"-","4,2x16")</f>
        <v>4,2x16</v>
      </c>
      <c r="I41" s="81">
        <f>IF(H12="да",0,(I39*5))</f>
        <v>10</v>
      </c>
      <c r="J41" s="76">
        <f>IF(C41=0,0,IF(OR($A$19="Цинк 0,5",$A$19="Цинк 0,55"),C41*'Цены Жалюзи'!$C$224,C41*'Цены Жалюзи'!$C$225))</f>
        <v>31.6</v>
      </c>
      <c r="K41" s="76">
        <f>IF(E41=0,0,IF(OR($A$19="Цинк 0,5",$A$19="Цинк 0,55"),E41*'Цены Жалюзи'!$C$224,E41*'Цены Жалюзи'!$C$225))</f>
        <v>31.6</v>
      </c>
      <c r="L41" s="76">
        <f>IF(G41=0,0,IF(OR($A$19="Цинк 0,5",$A$19="Цинк 0,55"),G41*'Цены Жалюзи'!$C$224,G41*'Цены Жалюзи'!$C$225))</f>
        <v>31.6</v>
      </c>
      <c r="M41" s="76">
        <f>IF(I41=0,0,IF(OR($A$19="Цинк 0,5",$A$19="Цинк 0,55"),I41*'Цены Жалюзи'!$C$224,I41*'Цены Жалюзи'!$C$225))</f>
        <v>31.6</v>
      </c>
    </row>
    <row r="42" spans="1:13" ht="16.5" customHeight="1">
      <c r="A42" s="67" t="s">
        <v>36</v>
      </c>
      <c r="B42" s="82" t="str">
        <f>IF(C42=0,"-","4,2x16")</f>
        <v>4,2x16</v>
      </c>
      <c r="C42" s="79">
        <f>C32*4+C33*4+IF(B9&gt;0,C27/B9*C37+C29/B9*C37,0)</f>
        <v>13</v>
      </c>
      <c r="D42" s="82" t="str">
        <f>IF(E42=0,"-","4,2x16")</f>
        <v>4,2x16</v>
      </c>
      <c r="E42" s="79">
        <f>E32*4+E33*4+IF(D9&gt;0,E27/D9*E37+E29/D9*E37,0)</f>
        <v>13</v>
      </c>
      <c r="F42" s="82" t="str">
        <f>IF(G42=0,"-","4,2x16")</f>
        <v>4,2x16</v>
      </c>
      <c r="G42" s="79">
        <f>G32*4+G33*4+IF(F9&gt;0,G27/F9*G37+G29/F9*G37,0)</f>
        <v>13</v>
      </c>
      <c r="H42" s="83" t="str">
        <f>IF(I42=0,"-","4,2x16")</f>
        <v>4,2x16</v>
      </c>
      <c r="I42" s="81">
        <f>I32*4+I33*4+IF(H9&gt;0,I27/H9*I37+I29/H9*I37,0)</f>
        <v>13</v>
      </c>
      <c r="J42" s="76">
        <f>IF(C42=0,0,IF(OR($A$17="Цинк 0,5",$A$17="Цинк 0,55"),C42*'Цены Жалюзи'!$C$71,C42*'Цены Жалюзи'!$C$72))</f>
        <v>33.800000000000004</v>
      </c>
      <c r="K42" s="76">
        <f>IF(E42=0,0,IF(OR($A$17="Цинк 0,5",$A$17="Цинк 0,55"),E42*'Цены Жалюзи'!$C$71,E42*'Цены Жалюзи'!$C$72))</f>
        <v>33.800000000000004</v>
      </c>
      <c r="L42" s="76">
        <f>IF(G42=0,0,IF(OR($A$17="Цинк 0,5",$A$17="Цинк 0,55"),G42*'Цены Жалюзи'!$C$71,G42*'Цены Жалюзи'!$C$72))</f>
        <v>33.800000000000004</v>
      </c>
      <c r="M42" s="76">
        <f>IF(I42=0,0,IF(OR($A$17="Цинк 0,5",$A$17="Цинк 0,55"),I42*'Цены Жалюзи'!$C$71,I42*'Цены Жалюзи'!$C$72))</f>
        <v>33.800000000000004</v>
      </c>
    </row>
    <row r="43" spans="1:13" ht="16.5" customHeight="1">
      <c r="A43" s="67" t="s">
        <v>306</v>
      </c>
      <c r="B43" s="82" t="str">
        <f>IF(C43=0,"-","7,5x52")</f>
        <v>-</v>
      </c>
      <c r="C43" s="79">
        <f>IF(B$9=0,0,IF(B$12="да",C39*5,0))</f>
        <v>0</v>
      </c>
      <c r="D43" s="82" t="str">
        <f>IF(E43=0,"-","7,5x52")</f>
        <v>-</v>
      </c>
      <c r="E43" s="79">
        <f>IF(D$9=0,0,IF(D$12="да",E39*5,0))</f>
        <v>0</v>
      </c>
      <c r="F43" s="82" t="str">
        <f>IF(G43=0,"-","7,5x52")</f>
        <v>-</v>
      </c>
      <c r="G43" s="79">
        <f>IF(F$9=0,0,IF(F$12="да",G39*5,0))</f>
        <v>0</v>
      </c>
      <c r="H43" s="82" t="str">
        <f>IF(I43=0,"-","7,5x52")</f>
        <v>-</v>
      </c>
      <c r="I43" s="81">
        <f>IF(H$9=0,0,IF(H$12="да",I39*5,0))</f>
        <v>0</v>
      </c>
      <c r="J43" s="76">
        <f>IF(C43=0,0,C43*'Цены Жалюзи'!$C$229)</f>
        <v>0</v>
      </c>
      <c r="K43" s="76">
        <f>IF(E43=0,0,E43*'Цены Жалюзи'!$C$229)</f>
        <v>0</v>
      </c>
      <c r="L43" s="76">
        <f>IF(G43=0,0,G43*'Цены Жалюзи'!$C$229)</f>
        <v>0</v>
      </c>
      <c r="M43" s="76">
        <f>IF(I43=0,0,I43*'Цены Жалюзи'!$C$229)</f>
        <v>0</v>
      </c>
    </row>
    <row r="44" spans="1:13" ht="16.5" customHeight="1">
      <c r="A44" s="67" t="s">
        <v>112</v>
      </c>
      <c r="B44" s="82"/>
      <c r="C44" s="79">
        <f>C43</f>
        <v>0</v>
      </c>
      <c r="D44" s="82"/>
      <c r="E44" s="79">
        <f>E43</f>
        <v>0</v>
      </c>
      <c r="F44" s="82"/>
      <c r="G44" s="79">
        <f>G43</f>
        <v>0</v>
      </c>
      <c r="H44" s="82"/>
      <c r="I44" s="81">
        <f>I43</f>
        <v>0</v>
      </c>
      <c r="J44" s="76">
        <f>IF(C44=0,0,C44*'Цены Жалюзи'!$C$230)</f>
        <v>0</v>
      </c>
      <c r="K44" s="76">
        <f>IF(E44=0,0,E44*'Цены Жалюзи'!$C$230)</f>
        <v>0</v>
      </c>
      <c r="L44" s="76">
        <f>IF(G44=0,0,G44*'Цены Жалюзи'!$C$230)</f>
        <v>0</v>
      </c>
      <c r="M44" s="76">
        <f>IF(I44=0,0,I44*'Цены Жалюзи'!$C$230)</f>
        <v>0</v>
      </c>
    </row>
    <row r="45" spans="1:13" ht="16.5" customHeight="1">
      <c r="A45" s="67" t="s">
        <v>374</v>
      </c>
      <c r="B45" s="82"/>
      <c r="C45" s="79">
        <f>IF(AND($B$6="ламель 125",B9&gt;0),B9,0)</f>
        <v>1</v>
      </c>
      <c r="D45" s="151"/>
      <c r="E45" s="79">
        <f>IF(AND($B$6="ламель 125",D9&gt;0),D9,0)</f>
        <v>1</v>
      </c>
      <c r="F45" s="151"/>
      <c r="G45" s="79">
        <f>IF(AND($B$6="ламель 125",F9&gt;0),F9,0)</f>
        <v>1</v>
      </c>
      <c r="H45" s="151"/>
      <c r="I45" s="81">
        <f>IF(AND($B$6="ламель 125",H9&gt;0),H9,0)</f>
        <v>1</v>
      </c>
      <c r="J45" s="76">
        <f>IF(C45=0,0,C45*'Цены Жалюзи'!$S$130)</f>
        <v>670</v>
      </c>
      <c r="K45" s="76">
        <f>IF(E45=0,0,E45*'Цены Жалюзи'!$S$130)</f>
        <v>670</v>
      </c>
      <c r="L45" s="76">
        <f>IF(G45=0,0,G45*'Цены Жалюзи'!$S$130)</f>
        <v>670</v>
      </c>
      <c r="M45" s="76">
        <f>IF(I45=0,0,I45*'Цены Жалюзи'!$S$130)</f>
        <v>670</v>
      </c>
    </row>
    <row r="46" spans="1:13" ht="16.5" customHeight="1">
      <c r="A46" s="67" t="s">
        <v>375</v>
      </c>
      <c r="B46" s="82"/>
      <c r="C46" s="79">
        <f>IF(AND($B$6="ламель 125",B9&gt;0),B9,0)</f>
        <v>1</v>
      </c>
      <c r="D46" s="151"/>
      <c r="E46" s="79">
        <f>IF(AND($B$6="ламель 125",D9&gt;0),D9,0)</f>
        <v>1</v>
      </c>
      <c r="F46" s="151"/>
      <c r="G46" s="79">
        <f>IF(AND($B$6="ламель 125",F9&gt;0),F9,0)</f>
        <v>1</v>
      </c>
      <c r="H46" s="151"/>
      <c r="I46" s="81">
        <f>IF(AND($B$6="ламель 125",H9&gt;0),H9,0)</f>
        <v>1</v>
      </c>
      <c r="J46" s="76">
        <f>IF(C46=0,0,C46*'Цены Жалюзи'!$S$130)</f>
        <v>670</v>
      </c>
      <c r="K46" s="76">
        <f>IF(E46=0,0,E46*'Цены Жалюзи'!$S$130)</f>
        <v>670</v>
      </c>
      <c r="L46" s="76">
        <f>IF(G46=0,0,G46*'Цены Жалюзи'!$S$130)</f>
        <v>670</v>
      </c>
      <c r="M46" s="76">
        <f>IF(I46=0,0,I46*'Цены Жалюзи'!$S$130)</f>
        <v>670</v>
      </c>
    </row>
    <row r="47" spans="1:13" ht="16.5" customHeight="1">
      <c r="A47" s="67" t="s">
        <v>376</v>
      </c>
      <c r="B47" s="82"/>
      <c r="C47" s="79">
        <f>IF(AND($B$6="ламель 150",B9&gt;0),B9,0)</f>
        <v>0</v>
      </c>
      <c r="D47" s="151"/>
      <c r="E47" s="79">
        <f>IF(AND($B$6="ламель 150",D9&gt;0),D9,0)</f>
        <v>0</v>
      </c>
      <c r="F47" s="151"/>
      <c r="G47" s="79">
        <f>IF(AND($B$6="ламель 150",F9&gt;0),F9,0)</f>
        <v>0</v>
      </c>
      <c r="H47" s="151"/>
      <c r="I47" s="81">
        <f>IF(AND($B$6="ламель 150",H9&gt;0),H9,0)</f>
        <v>0</v>
      </c>
      <c r="J47" s="76">
        <f>IF(C47=0,0,C47*'Цены Жалюзи'!$T$130)</f>
        <v>0</v>
      </c>
      <c r="K47" s="76">
        <f>IF(E47=0,0,E47*'Цены Жалюзи'!$T$130)</f>
        <v>0</v>
      </c>
      <c r="L47" s="76">
        <f>IF(G47=0,0,G47*'Цены Жалюзи'!$T$130)</f>
        <v>0</v>
      </c>
      <c r="M47" s="76">
        <f>IF(I47=0,0,I47*'Цены Жалюзи'!$T$130)</f>
        <v>0</v>
      </c>
    </row>
    <row r="48" spans="1:13" ht="16.5" customHeight="1">
      <c r="A48" s="67" t="s">
        <v>377</v>
      </c>
      <c r="B48" s="82"/>
      <c r="C48" s="79">
        <f>IF(AND($B$6="ламель 150",B9&gt;0),B9,0)</f>
        <v>0</v>
      </c>
      <c r="D48" s="151"/>
      <c r="E48" s="79">
        <f>IF(AND($B$6="ламель 150",D9&gt;0),D9,0)</f>
        <v>0</v>
      </c>
      <c r="F48" s="151"/>
      <c r="G48" s="79">
        <f>IF(AND($B$6="ламель 150",F9&gt;0),F9,0)</f>
        <v>0</v>
      </c>
      <c r="H48" s="151"/>
      <c r="I48" s="81">
        <f>IF(AND($B$6="ламель 150",H9&gt;0),H9,0)</f>
        <v>0</v>
      </c>
      <c r="J48" s="76">
        <f>IF(C48=0,0,C48*'Цены Жалюзи'!$T$130)</f>
        <v>0</v>
      </c>
      <c r="K48" s="76">
        <f>IF(E48=0,0,E48*'Цены Жалюзи'!$T$130)</f>
        <v>0</v>
      </c>
      <c r="L48" s="76">
        <f>IF(G48=0,0,G48*'Цены Жалюзи'!$T$130)</f>
        <v>0</v>
      </c>
      <c r="M48" s="76">
        <f>IF(I48=0,0,I48*'Цены Жалюзи'!$T$130)</f>
        <v>0</v>
      </c>
    </row>
    <row r="49" spans="1:13" ht="16.5" customHeight="1">
      <c r="A49" s="101" t="s">
        <v>39</v>
      </c>
      <c r="B49" s="106"/>
      <c r="C49" s="107"/>
      <c r="D49" s="108"/>
      <c r="E49" s="109"/>
      <c r="F49" s="110"/>
      <c r="G49" s="107"/>
      <c r="H49" s="110"/>
      <c r="I49" s="106"/>
      <c r="J49" s="75"/>
      <c r="K49" s="75"/>
      <c r="L49" s="75"/>
      <c r="M49" s="75"/>
    </row>
    <row r="50" spans="1:13" ht="16.5" customHeight="1">
      <c r="A50" s="67" t="s">
        <v>146</v>
      </c>
      <c r="B50" s="84"/>
      <c r="C50" s="79">
        <f>IF(B$13=$A50,1,0)</f>
        <v>0</v>
      </c>
      <c r="D50" s="85"/>
      <c r="E50" s="79">
        <f>IF(D$13=$A50,1,0)</f>
        <v>0</v>
      </c>
      <c r="F50" s="85"/>
      <c r="G50" s="79">
        <f>IF(F$13=$A50,1,0)</f>
        <v>0</v>
      </c>
      <c r="H50" s="85"/>
      <c r="I50" s="81">
        <f>IF(H$13=$A50,1,0)</f>
        <v>0</v>
      </c>
      <c r="J50" s="76">
        <f>IF(C50=0,0,'Цены Жалюзи'!$S$224)</f>
        <v>0</v>
      </c>
      <c r="K50" s="76">
        <f>IF(E50=0,0,'Цены Жалюзи'!$S$224)</f>
        <v>0</v>
      </c>
      <c r="L50" s="76">
        <f>IF(G50=0,0,'Цены Жалюзи'!$S$224)</f>
        <v>0</v>
      </c>
      <c r="M50" s="76">
        <f>IF(I50=0,0,'Цены Жалюзи'!$S$224)</f>
        <v>0</v>
      </c>
    </row>
    <row r="51" spans="1:13" ht="16.5" customHeight="1">
      <c r="A51" s="67" t="s">
        <v>147</v>
      </c>
      <c r="B51" s="84"/>
      <c r="C51" s="79">
        <f>IF(B$13=$A51,1,0)</f>
        <v>0</v>
      </c>
      <c r="D51" s="85"/>
      <c r="E51" s="79">
        <f>IF(D$13=$A51,1,0)</f>
        <v>0</v>
      </c>
      <c r="F51" s="85"/>
      <c r="G51" s="79">
        <f>IF(F$13=$A51,1,0)</f>
        <v>0</v>
      </c>
      <c r="H51" s="85"/>
      <c r="I51" s="81">
        <f>IF(H$13=$A51,1,0)</f>
        <v>0</v>
      </c>
      <c r="J51" s="76">
        <f>IF(C51=0,0,'Цены Жалюзи'!$S$225)</f>
        <v>0</v>
      </c>
      <c r="K51" s="76">
        <f>IF(E51=0,0,'Цены Жалюзи'!$S$225)</f>
        <v>0</v>
      </c>
      <c r="L51" s="76">
        <f>IF(G51=0,0,'Цены Жалюзи'!$S$225)</f>
        <v>0</v>
      </c>
      <c r="M51" s="76">
        <f>IF(I51=0,0,'Цены Жалюзи'!$S$225)</f>
        <v>0</v>
      </c>
    </row>
    <row r="52" spans="1:13" ht="16.5" customHeight="1">
      <c r="A52" s="67" t="s">
        <v>42</v>
      </c>
      <c r="B52" s="84"/>
      <c r="C52" s="79">
        <f>IF(B$13=$A52,1,0)</f>
        <v>0</v>
      </c>
      <c r="D52" s="85"/>
      <c r="E52" s="79">
        <f>IF(D$13=$A52,1,0)</f>
        <v>0</v>
      </c>
      <c r="F52" s="85"/>
      <c r="G52" s="79">
        <f>IF(F$13=$A52,1,0)</f>
        <v>0</v>
      </c>
      <c r="H52" s="85"/>
      <c r="I52" s="81">
        <f>IF(H$13=$A52,1,0)</f>
        <v>0</v>
      </c>
      <c r="J52" s="76">
        <f>IF(C52=0,0,'Цены Жалюзи'!$S$226)</f>
        <v>0</v>
      </c>
      <c r="K52" s="76">
        <f>IF(E52=0,0,'Цены Жалюзи'!$S$226)</f>
        <v>0</v>
      </c>
      <c r="L52" s="76">
        <f>IF(G52=0,0,'Цены Жалюзи'!$S$226)</f>
        <v>0</v>
      </c>
      <c r="M52" s="76">
        <f>IF(I52=0,0,'Цены Жалюзи'!$S$226)</f>
        <v>0</v>
      </c>
    </row>
    <row r="53" spans="1:13" ht="16.5" customHeight="1">
      <c r="A53" s="101" t="s">
        <v>43</v>
      </c>
      <c r="B53" s="106"/>
      <c r="C53" s="107"/>
      <c r="D53" s="108"/>
      <c r="E53" s="107"/>
      <c r="F53" s="110"/>
      <c r="G53" s="107"/>
      <c r="H53" s="110"/>
      <c r="I53" s="106"/>
      <c r="J53" s="75"/>
      <c r="K53" s="75"/>
      <c r="L53" s="75"/>
      <c r="M53" s="75"/>
    </row>
    <row r="54" spans="1:13" ht="16.5" customHeight="1">
      <c r="A54" s="67" t="s">
        <v>196</v>
      </c>
      <c r="B54" s="84"/>
      <c r="C54" s="79">
        <f aca="true" t="shared" si="2" ref="C54:E74">IF(B$14=$A54,1,0)</f>
        <v>0</v>
      </c>
      <c r="D54" s="85"/>
      <c r="E54" s="79">
        <f t="shared" si="2"/>
        <v>0</v>
      </c>
      <c r="F54" s="85"/>
      <c r="G54" s="79">
        <f aca="true" t="shared" si="3" ref="G54:G74">IF(F$14=$A54,1,0)</f>
        <v>0</v>
      </c>
      <c r="H54" s="85"/>
      <c r="I54" s="81">
        <f aca="true" t="shared" si="4" ref="I54:I74">IF(H$14=$A54,1,0)</f>
        <v>0</v>
      </c>
      <c r="J54" s="76">
        <f>IF(C54=0,0,'Цены Жалюзи'!$S$227)</f>
        <v>0</v>
      </c>
      <c r="K54" s="76">
        <f>IF(E54=0,0,'Цены Жалюзи'!$S$227)</f>
        <v>0</v>
      </c>
      <c r="L54" s="76">
        <f>IF(G54=0,0,'Цены Жалюзи'!$S$227)</f>
        <v>0</v>
      </c>
      <c r="M54" s="76">
        <f>IF(I54=0,0,'Цены Жалюзи'!$S$227)</f>
        <v>0</v>
      </c>
    </row>
    <row r="55" spans="1:13" ht="16.5" customHeight="1">
      <c r="A55" s="67" t="s">
        <v>197</v>
      </c>
      <c r="B55" s="84"/>
      <c r="C55" s="79">
        <f t="shared" si="2"/>
        <v>0</v>
      </c>
      <c r="D55" s="85"/>
      <c r="E55" s="79">
        <f t="shared" si="2"/>
        <v>0</v>
      </c>
      <c r="F55" s="85"/>
      <c r="G55" s="79">
        <f t="shared" si="3"/>
        <v>0</v>
      </c>
      <c r="H55" s="85"/>
      <c r="I55" s="81">
        <f t="shared" si="4"/>
        <v>0</v>
      </c>
      <c r="J55" s="76">
        <f>IF(C55=0,0,'Цены Жалюзи'!$S$228)</f>
        <v>0</v>
      </c>
      <c r="K55" s="76">
        <f>IF(E55=0,0,'Цены Жалюзи'!$S$228)</f>
        <v>0</v>
      </c>
      <c r="L55" s="76">
        <f>IF(G55=0,0,'Цены Жалюзи'!$S$228)</f>
        <v>0</v>
      </c>
      <c r="M55" s="76">
        <f>IF(I55=0,0,'Цены Жалюзи'!$S$228)</f>
        <v>0</v>
      </c>
    </row>
    <row r="56" spans="1:13" ht="16.5" customHeight="1">
      <c r="A56" s="67" t="s">
        <v>46</v>
      </c>
      <c r="B56" s="84"/>
      <c r="C56" s="79">
        <f t="shared" si="2"/>
        <v>0</v>
      </c>
      <c r="D56" s="85"/>
      <c r="E56" s="79">
        <f t="shared" si="2"/>
        <v>0</v>
      </c>
      <c r="F56" s="85"/>
      <c r="G56" s="79">
        <f t="shared" si="3"/>
        <v>0</v>
      </c>
      <c r="H56" s="85"/>
      <c r="I56" s="81">
        <f t="shared" si="4"/>
        <v>0</v>
      </c>
      <c r="J56" s="76">
        <f>IF(C56=0,0,'Цены Жалюзи'!$S$229)</f>
        <v>0</v>
      </c>
      <c r="K56" s="76">
        <f>IF(E56=0,0,'Цены Жалюзи'!$S$229)</f>
        <v>0</v>
      </c>
      <c r="L56" s="76">
        <f>IF(G56=0,0,'Цены Жалюзи'!$S$229)</f>
        <v>0</v>
      </c>
      <c r="M56" s="76">
        <f>IF(I56=0,0,'Цены Жалюзи'!$S$229)</f>
        <v>0</v>
      </c>
    </row>
    <row r="57" spans="1:15" ht="16.5" customHeight="1">
      <c r="A57" s="67" t="s">
        <v>198</v>
      </c>
      <c r="B57" s="84"/>
      <c r="C57" s="79">
        <f t="shared" si="2"/>
        <v>0</v>
      </c>
      <c r="D57" s="85"/>
      <c r="E57" s="79">
        <f t="shared" si="2"/>
        <v>0</v>
      </c>
      <c r="F57" s="85"/>
      <c r="G57" s="79">
        <f t="shared" si="3"/>
        <v>0</v>
      </c>
      <c r="H57" s="85"/>
      <c r="I57" s="81">
        <f t="shared" si="4"/>
        <v>0</v>
      </c>
      <c r="J57" s="76">
        <f>IF(C57=0,0,'Цены Жалюзи'!$S$230)</f>
        <v>0</v>
      </c>
      <c r="K57" s="76">
        <f>IF(E57=0,0,'Цены Жалюзи'!$S$230)</f>
        <v>0</v>
      </c>
      <c r="L57" s="76">
        <f>IF(G57=0,0,'Цены Жалюзи'!$S$230)</f>
        <v>0</v>
      </c>
      <c r="M57" s="76">
        <f>IF(I57=0,0,'Цены Жалюзи'!$S$230)</f>
        <v>0</v>
      </c>
      <c r="O57" s="9"/>
    </row>
    <row r="58" spans="1:15" ht="16.5" customHeight="1">
      <c r="A58" s="67" t="s">
        <v>199</v>
      </c>
      <c r="B58" s="84"/>
      <c r="C58" s="79">
        <f t="shared" si="2"/>
        <v>0</v>
      </c>
      <c r="D58" s="85"/>
      <c r="E58" s="79">
        <f t="shared" si="2"/>
        <v>0</v>
      </c>
      <c r="F58" s="85"/>
      <c r="G58" s="79">
        <f t="shared" si="3"/>
        <v>0</v>
      </c>
      <c r="H58" s="85"/>
      <c r="I58" s="81">
        <f t="shared" si="4"/>
        <v>0</v>
      </c>
      <c r="J58" s="76">
        <f>IF(C58=0,0,'Цены Жалюзи'!$S$231)</f>
        <v>0</v>
      </c>
      <c r="K58" s="76">
        <f>IF(E58=0,0,'Цены Жалюзи'!$S$231)</f>
        <v>0</v>
      </c>
      <c r="L58" s="76">
        <f>IF(G58=0,0,'Цены Жалюзи'!$S$231)</f>
        <v>0</v>
      </c>
      <c r="M58" s="76">
        <f>IF(I58=0,0,'Цены Жалюзи'!$S$231)</f>
        <v>0</v>
      </c>
      <c r="O58" s="9"/>
    </row>
    <row r="59" spans="1:15" ht="15.75" customHeight="1">
      <c r="A59" s="67" t="s">
        <v>200</v>
      </c>
      <c r="B59" s="84"/>
      <c r="C59" s="79">
        <f t="shared" si="2"/>
        <v>0</v>
      </c>
      <c r="D59" s="85"/>
      <c r="E59" s="79">
        <f t="shared" si="2"/>
        <v>0</v>
      </c>
      <c r="F59" s="85"/>
      <c r="G59" s="79">
        <f t="shared" si="3"/>
        <v>0</v>
      </c>
      <c r="H59" s="85"/>
      <c r="I59" s="81">
        <f t="shared" si="4"/>
        <v>0</v>
      </c>
      <c r="J59" s="76">
        <f>IF(C59=0,0,'Цены Жалюзи'!$S$232)</f>
        <v>0</v>
      </c>
      <c r="K59" s="76">
        <f>IF(E59=0,0,'Цены Жалюзи'!$S$232)</f>
        <v>0</v>
      </c>
      <c r="L59" s="76">
        <f>IF(G59=0,0,'Цены Жалюзи'!$S$232)</f>
        <v>0</v>
      </c>
      <c r="M59" s="76">
        <f>IF(I59=0,0,'Цены Жалюзи'!$S$232)</f>
        <v>0</v>
      </c>
      <c r="O59" s="10"/>
    </row>
    <row r="60" spans="1:15" ht="15.75" customHeight="1">
      <c r="A60" s="67" t="s">
        <v>201</v>
      </c>
      <c r="B60" s="84"/>
      <c r="C60" s="79">
        <f t="shared" si="2"/>
        <v>0</v>
      </c>
      <c r="D60" s="85"/>
      <c r="E60" s="79">
        <f t="shared" si="2"/>
        <v>0</v>
      </c>
      <c r="F60" s="85"/>
      <c r="G60" s="79">
        <f t="shared" si="3"/>
        <v>0</v>
      </c>
      <c r="H60" s="85"/>
      <c r="I60" s="81">
        <f t="shared" si="4"/>
        <v>0</v>
      </c>
      <c r="J60" s="76">
        <f>IF(C60=0,0,'Цены Жалюзи'!$S$233)</f>
        <v>0</v>
      </c>
      <c r="K60" s="76">
        <f>IF(E60=0,0,'Цены Жалюзи'!$S$233)</f>
        <v>0</v>
      </c>
      <c r="L60" s="76">
        <f>IF(G60=0,0,'Цены Жалюзи'!$S$233)</f>
        <v>0</v>
      </c>
      <c r="M60" s="76">
        <f>IF(I60=0,0,'Цены Жалюзи'!$S$233)</f>
        <v>0</v>
      </c>
      <c r="O60" s="11"/>
    </row>
    <row r="61" spans="1:15" ht="15.75" customHeight="1">
      <c r="A61" s="67" t="s">
        <v>202</v>
      </c>
      <c r="B61" s="84"/>
      <c r="C61" s="79">
        <f t="shared" si="2"/>
        <v>0</v>
      </c>
      <c r="D61" s="85"/>
      <c r="E61" s="79">
        <f t="shared" si="2"/>
        <v>0</v>
      </c>
      <c r="F61" s="85"/>
      <c r="G61" s="79">
        <f t="shared" si="3"/>
        <v>0</v>
      </c>
      <c r="H61" s="85"/>
      <c r="I61" s="81">
        <f t="shared" si="4"/>
        <v>0</v>
      </c>
      <c r="J61" s="76">
        <f>IF(C61=0,0,'Цены Жалюзи'!$S$234)</f>
        <v>0</v>
      </c>
      <c r="K61" s="76">
        <f>IF(E61=0,0,'Цены Жалюзи'!$S$234)</f>
        <v>0</v>
      </c>
      <c r="L61" s="76">
        <f>IF(G61=0,0,'Цены Жалюзи'!$S$234)</f>
        <v>0</v>
      </c>
      <c r="M61" s="76">
        <f>IF(I61=0,0,'Цены Жалюзи'!$S$234)</f>
        <v>0</v>
      </c>
      <c r="O61" s="13"/>
    </row>
    <row r="62" spans="1:15" ht="15.75" customHeight="1">
      <c r="A62" s="67" t="s">
        <v>203</v>
      </c>
      <c r="B62" s="84"/>
      <c r="C62" s="79">
        <f t="shared" si="2"/>
        <v>0</v>
      </c>
      <c r="D62" s="85"/>
      <c r="E62" s="79">
        <f t="shared" si="2"/>
        <v>0</v>
      </c>
      <c r="F62" s="85"/>
      <c r="G62" s="79">
        <f t="shared" si="3"/>
        <v>0</v>
      </c>
      <c r="H62" s="85"/>
      <c r="I62" s="81">
        <f t="shared" si="4"/>
        <v>0</v>
      </c>
      <c r="J62" s="76">
        <f>IF(C62=0,0,'Цены Жалюзи'!$S$235)</f>
        <v>0</v>
      </c>
      <c r="K62" s="76">
        <f>IF(E62=0,0,'Цены Жалюзи'!$S$235)</f>
        <v>0</v>
      </c>
      <c r="L62" s="76">
        <f>IF(G62=0,0,'Цены Жалюзи'!$S$235)</f>
        <v>0</v>
      </c>
      <c r="M62" s="76">
        <f>IF(I62=0,0,'Цены Жалюзи'!$S$235)</f>
        <v>0</v>
      </c>
      <c r="O62" s="13"/>
    </row>
    <row r="63" spans="1:15" ht="15.75" customHeight="1">
      <c r="A63" s="67" t="s">
        <v>53</v>
      </c>
      <c r="B63" s="84"/>
      <c r="C63" s="79">
        <f t="shared" si="2"/>
        <v>0</v>
      </c>
      <c r="D63" s="86"/>
      <c r="E63" s="79">
        <f t="shared" si="2"/>
        <v>0</v>
      </c>
      <c r="F63" s="85"/>
      <c r="G63" s="79">
        <f t="shared" si="3"/>
        <v>0</v>
      </c>
      <c r="H63" s="85"/>
      <c r="I63" s="81">
        <f t="shared" si="4"/>
        <v>0</v>
      </c>
      <c r="J63" s="76">
        <f>IF(C63=0,0,'Цены Жалюзи'!$S$236)</f>
        <v>0</v>
      </c>
      <c r="K63" s="76">
        <f>IF(E63=0,0,'Цены Жалюзи'!$S$236)</f>
        <v>0</v>
      </c>
      <c r="L63" s="76">
        <f>IF(G63=0,0,'Цены Жалюзи'!$S$236)</f>
        <v>0</v>
      </c>
      <c r="M63" s="76">
        <f>IF(I63=0,0,'Цены Жалюзи'!$S$236)</f>
        <v>0</v>
      </c>
      <c r="O63" s="13"/>
    </row>
    <row r="64" spans="1:15" ht="15.75" customHeight="1">
      <c r="A64" s="67" t="s">
        <v>55</v>
      </c>
      <c r="B64" s="87"/>
      <c r="C64" s="79">
        <f t="shared" si="2"/>
        <v>0</v>
      </c>
      <c r="D64" s="86"/>
      <c r="E64" s="79">
        <f t="shared" si="2"/>
        <v>0</v>
      </c>
      <c r="F64" s="86"/>
      <c r="G64" s="79">
        <f t="shared" si="3"/>
        <v>0</v>
      </c>
      <c r="H64" s="86"/>
      <c r="I64" s="81">
        <f t="shared" si="4"/>
        <v>0</v>
      </c>
      <c r="J64" s="76">
        <f>IF(C64=0,0,'Цены Жалюзи'!$S$237)</f>
        <v>0</v>
      </c>
      <c r="K64" s="76">
        <f>IF(E64=0,0,'Цены Жалюзи'!$S$237)</f>
        <v>0</v>
      </c>
      <c r="L64" s="76">
        <f>IF(G64=0,0,'Цены Жалюзи'!$S$237)</f>
        <v>0</v>
      </c>
      <c r="M64" s="76">
        <f>IF(I64=0,0,'Цены Жалюзи'!$S$237)</f>
        <v>0</v>
      </c>
      <c r="O64" s="13"/>
    </row>
    <row r="65" spans="1:15" ht="15.75" customHeight="1">
      <c r="A65" s="67" t="s">
        <v>58</v>
      </c>
      <c r="B65" s="87"/>
      <c r="C65" s="79">
        <f t="shared" si="2"/>
        <v>0</v>
      </c>
      <c r="D65" s="86"/>
      <c r="E65" s="79">
        <f t="shared" si="2"/>
        <v>0</v>
      </c>
      <c r="F65" s="86"/>
      <c r="G65" s="79">
        <f t="shared" si="3"/>
        <v>0</v>
      </c>
      <c r="H65" s="86"/>
      <c r="I65" s="81">
        <f t="shared" si="4"/>
        <v>0</v>
      </c>
      <c r="J65" s="76">
        <f>IF(C65=0,0,'Цены Жалюзи'!$S$238)</f>
        <v>0</v>
      </c>
      <c r="K65" s="76">
        <f>IF(E65=0,0,'Цены Жалюзи'!$S$238)</f>
        <v>0</v>
      </c>
      <c r="L65" s="76">
        <f>IF(G65=0,0,'Цены Жалюзи'!$S$238)</f>
        <v>0</v>
      </c>
      <c r="M65" s="76">
        <f>IF(I65=0,0,'Цены Жалюзи'!$S$238)</f>
        <v>0</v>
      </c>
      <c r="O65" s="13"/>
    </row>
    <row r="66" spans="1:15" ht="15.75" customHeight="1">
      <c r="A66" s="67" t="s">
        <v>204</v>
      </c>
      <c r="B66" s="87"/>
      <c r="C66" s="79">
        <f t="shared" si="2"/>
        <v>0</v>
      </c>
      <c r="D66" s="86"/>
      <c r="E66" s="79">
        <f t="shared" si="2"/>
        <v>0</v>
      </c>
      <c r="F66" s="86"/>
      <c r="G66" s="79">
        <f t="shared" si="3"/>
        <v>0</v>
      </c>
      <c r="H66" s="86"/>
      <c r="I66" s="81">
        <f t="shared" si="4"/>
        <v>0</v>
      </c>
      <c r="J66" s="76">
        <f>IF(C66=0,0,'Цены Жалюзи'!$S$239)</f>
        <v>0</v>
      </c>
      <c r="K66" s="76">
        <f>IF(E66=0,0,'Цены Жалюзи'!$S$239)</f>
        <v>0</v>
      </c>
      <c r="L66" s="76">
        <f>IF(G66=0,0,'Цены Жалюзи'!$S$239)</f>
        <v>0</v>
      </c>
      <c r="M66" s="76">
        <f>IF(I66=0,0,'Цены Жалюзи'!$S$239)</f>
        <v>0</v>
      </c>
      <c r="O66" s="13"/>
    </row>
    <row r="67" spans="1:15" ht="15.75" customHeight="1">
      <c r="A67" s="67" t="s">
        <v>206</v>
      </c>
      <c r="B67" s="87"/>
      <c r="C67" s="79">
        <f t="shared" si="2"/>
        <v>0</v>
      </c>
      <c r="D67" s="86"/>
      <c r="E67" s="79">
        <f t="shared" si="2"/>
        <v>0</v>
      </c>
      <c r="F67" s="86"/>
      <c r="G67" s="79">
        <f t="shared" si="3"/>
        <v>0</v>
      </c>
      <c r="H67" s="86"/>
      <c r="I67" s="81">
        <f t="shared" si="4"/>
        <v>0</v>
      </c>
      <c r="J67" s="76">
        <f>IF(C67=0,0,'Цены Жалюзи'!$S$240)</f>
        <v>0</v>
      </c>
      <c r="K67" s="76">
        <f>IF(E67=0,0,'Цены Жалюзи'!$S$240)</f>
        <v>0</v>
      </c>
      <c r="L67" s="76">
        <f>IF(G67=0,0,'Цены Жалюзи'!$S$240)</f>
        <v>0</v>
      </c>
      <c r="M67" s="76">
        <f>IF(I67=0,0,'Цены Жалюзи'!$S$240)</f>
        <v>0</v>
      </c>
      <c r="O67" s="13"/>
    </row>
    <row r="68" spans="1:15" ht="15.75" customHeight="1">
      <c r="A68" s="67" t="s">
        <v>207</v>
      </c>
      <c r="B68" s="87"/>
      <c r="C68" s="79">
        <f t="shared" si="2"/>
        <v>0</v>
      </c>
      <c r="D68" s="86"/>
      <c r="E68" s="79">
        <f t="shared" si="2"/>
        <v>0</v>
      </c>
      <c r="F68" s="86"/>
      <c r="G68" s="79">
        <f t="shared" si="3"/>
        <v>0</v>
      </c>
      <c r="H68" s="86"/>
      <c r="I68" s="81">
        <f t="shared" si="4"/>
        <v>0</v>
      </c>
      <c r="J68" s="76">
        <f>IF(C68=0,0,'Цены Жалюзи'!$S$241)</f>
        <v>0</v>
      </c>
      <c r="K68" s="76">
        <f>IF(E68=0,0,'Цены Жалюзи'!$S$241)</f>
        <v>0</v>
      </c>
      <c r="L68" s="76">
        <f>IF(G68=0,0,'Цены Жалюзи'!$S$241)</f>
        <v>0</v>
      </c>
      <c r="M68" s="76">
        <f>IF(I68=0,0,'Цены Жалюзи'!$S$241)</f>
        <v>0</v>
      </c>
      <c r="O68" s="13"/>
    </row>
    <row r="69" spans="1:15" ht="15.75" customHeight="1">
      <c r="A69" s="67" t="s">
        <v>205</v>
      </c>
      <c r="B69" s="87"/>
      <c r="C69" s="79">
        <f t="shared" si="2"/>
        <v>0</v>
      </c>
      <c r="D69" s="86"/>
      <c r="E69" s="79">
        <f t="shared" si="2"/>
        <v>0</v>
      </c>
      <c r="F69" s="86"/>
      <c r="G69" s="79">
        <f t="shared" si="3"/>
        <v>0</v>
      </c>
      <c r="H69" s="86"/>
      <c r="I69" s="81">
        <f t="shared" si="4"/>
        <v>0</v>
      </c>
      <c r="J69" s="76">
        <f>IF(C69=0,0,'Цены Жалюзи'!$S$242)</f>
        <v>0</v>
      </c>
      <c r="K69" s="76">
        <f>IF(E69=0,0,'Цены Жалюзи'!$S$242)</f>
        <v>0</v>
      </c>
      <c r="L69" s="76">
        <f>IF(G69=0,0,'Цены Жалюзи'!$S$242)</f>
        <v>0</v>
      </c>
      <c r="M69" s="76">
        <f>IF(I69=0,0,'Цены Жалюзи'!$S$242)</f>
        <v>0</v>
      </c>
      <c r="O69" s="13"/>
    </row>
    <row r="70" spans="1:15" ht="15.75" customHeight="1">
      <c r="A70" s="67" t="s">
        <v>208</v>
      </c>
      <c r="B70" s="87"/>
      <c r="C70" s="79">
        <f>IF(B$14=$A70,1,0)</f>
        <v>0</v>
      </c>
      <c r="D70" s="86"/>
      <c r="E70" s="79">
        <f>IF(D$14=$A70,1,0)</f>
        <v>0</v>
      </c>
      <c r="F70" s="86"/>
      <c r="G70" s="79">
        <f t="shared" si="3"/>
        <v>0</v>
      </c>
      <c r="H70" s="86"/>
      <c r="I70" s="81">
        <f t="shared" si="4"/>
        <v>0</v>
      </c>
      <c r="J70" s="76">
        <f>IF(C70=0,0,'Цены Жалюзи'!$S$243)</f>
        <v>0</v>
      </c>
      <c r="K70" s="76">
        <f>IF(E70=0,0,'Цены Жалюзи'!$S$243)</f>
        <v>0</v>
      </c>
      <c r="L70" s="76">
        <f>IF(G70=0,0,'Цены Жалюзи'!$S$243)</f>
        <v>0</v>
      </c>
      <c r="M70" s="76">
        <f>IF(I70=0,0,'Цены Жалюзи'!$S$243)</f>
        <v>0</v>
      </c>
      <c r="O70" s="13"/>
    </row>
    <row r="71" spans="1:15" ht="15.75" customHeight="1">
      <c r="A71" s="67" t="s">
        <v>209</v>
      </c>
      <c r="B71" s="87"/>
      <c r="C71" s="79">
        <f t="shared" si="2"/>
        <v>0</v>
      </c>
      <c r="D71" s="86"/>
      <c r="E71" s="79">
        <f t="shared" si="2"/>
        <v>0</v>
      </c>
      <c r="F71" s="86"/>
      <c r="G71" s="79">
        <f t="shared" si="3"/>
        <v>0</v>
      </c>
      <c r="H71" s="86"/>
      <c r="I71" s="81">
        <f t="shared" si="4"/>
        <v>0</v>
      </c>
      <c r="J71" s="76">
        <f>IF(C71=0,0,'Цены Жалюзи'!$S$244)</f>
        <v>0</v>
      </c>
      <c r="K71" s="76">
        <f>IF(E71=0,0,'Цены Жалюзи'!$S$244)</f>
        <v>0</v>
      </c>
      <c r="L71" s="76">
        <f>IF(G71=0,0,'Цены Жалюзи'!$S$244)</f>
        <v>0</v>
      </c>
      <c r="M71" s="76">
        <f>IF(I71=0,0,'Цены Жалюзи'!$S$244)</f>
        <v>0</v>
      </c>
      <c r="O71" s="13"/>
    </row>
    <row r="72" spans="1:15" ht="15.75" customHeight="1">
      <c r="A72" s="67" t="s">
        <v>70</v>
      </c>
      <c r="B72" s="87"/>
      <c r="C72" s="79">
        <f t="shared" si="2"/>
        <v>0</v>
      </c>
      <c r="D72" s="86"/>
      <c r="E72" s="79">
        <f t="shared" si="2"/>
        <v>0</v>
      </c>
      <c r="F72" s="86"/>
      <c r="G72" s="79">
        <f t="shared" si="3"/>
        <v>0</v>
      </c>
      <c r="H72" s="86"/>
      <c r="I72" s="81">
        <f t="shared" si="4"/>
        <v>0</v>
      </c>
      <c r="J72" s="76">
        <f>IF(C72=0,0,'Цены Жалюзи'!$S$245)</f>
        <v>0</v>
      </c>
      <c r="K72" s="76">
        <f>IF(E72=0,0,'Цены Жалюзи'!$S$245)</f>
        <v>0</v>
      </c>
      <c r="L72" s="76">
        <f>IF(G72=0,0,'Цены Жалюзи'!$S$245)</f>
        <v>0</v>
      </c>
      <c r="M72" s="76">
        <f>IF(I72=0,0,'Цены Жалюзи'!$S$245)</f>
        <v>0</v>
      </c>
      <c r="O72" s="13"/>
    </row>
    <row r="73" spans="1:15" ht="15.75" customHeight="1">
      <c r="A73" s="67" t="s">
        <v>77</v>
      </c>
      <c r="B73" s="87"/>
      <c r="C73" s="79">
        <f t="shared" si="2"/>
        <v>0</v>
      </c>
      <c r="D73" s="86"/>
      <c r="E73" s="79">
        <f t="shared" si="2"/>
        <v>0</v>
      </c>
      <c r="F73" s="86"/>
      <c r="G73" s="79">
        <f t="shared" si="3"/>
        <v>0</v>
      </c>
      <c r="H73" s="86"/>
      <c r="I73" s="81">
        <f t="shared" si="4"/>
        <v>0</v>
      </c>
      <c r="J73" s="76">
        <f>IF(C73=0,0,'Цены Жалюзи'!$S$246)</f>
        <v>0</v>
      </c>
      <c r="K73" s="76">
        <f>IF(E73=0,0,'Цены Жалюзи'!$S$246)</f>
        <v>0</v>
      </c>
      <c r="L73" s="76">
        <f>IF(G73=0,0,'Цены Жалюзи'!$S$246)</f>
        <v>0</v>
      </c>
      <c r="M73" s="76">
        <f>IF(I73=0,0,'Цены Жалюзи'!$S$246)</f>
        <v>0</v>
      </c>
      <c r="O73" s="13"/>
    </row>
    <row r="74" spans="1:15" ht="15.75" customHeight="1">
      <c r="A74" s="67" t="s">
        <v>79</v>
      </c>
      <c r="B74" s="87"/>
      <c r="C74" s="79">
        <f t="shared" si="2"/>
        <v>0</v>
      </c>
      <c r="D74" s="86"/>
      <c r="E74" s="79">
        <f t="shared" si="2"/>
        <v>0</v>
      </c>
      <c r="F74" s="86"/>
      <c r="G74" s="79">
        <f t="shared" si="3"/>
        <v>0</v>
      </c>
      <c r="H74" s="86"/>
      <c r="I74" s="81">
        <f t="shared" si="4"/>
        <v>0</v>
      </c>
      <c r="J74" s="76">
        <f>IF(C74=0,0,'Цены Жалюзи'!$S$247)</f>
        <v>0</v>
      </c>
      <c r="K74" s="76">
        <f>IF(E74=0,0,'Цены Жалюзи'!$S$247)</f>
        <v>0</v>
      </c>
      <c r="L74" s="76">
        <f>IF(G74=0,0,'Цены Жалюзи'!$S$247)</f>
        <v>0</v>
      </c>
      <c r="M74" s="76">
        <f>IF(I74=0,0,'Цены Жалюзи'!$S$247)</f>
        <v>0</v>
      </c>
      <c r="O74" s="13"/>
    </row>
    <row r="75" spans="1:15" ht="16.5" customHeight="1">
      <c r="A75" s="101" t="s">
        <v>82</v>
      </c>
      <c r="B75" s="106"/>
      <c r="C75" s="107"/>
      <c r="D75" s="111"/>
      <c r="E75" s="112"/>
      <c r="F75" s="110"/>
      <c r="G75" s="107"/>
      <c r="H75" s="110"/>
      <c r="I75" s="106"/>
      <c r="J75" s="75"/>
      <c r="K75" s="75"/>
      <c r="L75" s="75"/>
      <c r="M75" s="75"/>
      <c r="O75" s="13"/>
    </row>
    <row r="76" spans="1:15" ht="16.5" customHeight="1">
      <c r="A76" s="67" t="s">
        <v>120</v>
      </c>
      <c r="B76" s="78" t="str">
        <f>IF($B$6="ламель 125",VLOOKUP(B$13,Данные!$A$121:$V$124,2,FALSE),0)</f>
        <v>-</v>
      </c>
      <c r="C76" s="88">
        <f>IF($B$6="ламель 125",VLOOKUP(B$13,Данные!$A$121:$V$124,3,FALSE),0)</f>
        <v>0</v>
      </c>
      <c r="D76" s="78" t="str">
        <f>IF($B$6="ламель 125",VLOOKUP(D$13,Данные!$A$121:$V$124,2,FALSE),0)</f>
        <v>-</v>
      </c>
      <c r="E76" s="88">
        <f>IF($B$6="ламель 125",VLOOKUP(D$13,Данные!$A$121:$V$124,3,FALSE),0)</f>
        <v>0</v>
      </c>
      <c r="F76" s="78" t="str">
        <f>IF($B$6="ламель 125",VLOOKUP(F$13,Данные!$A$121:$V$124,2,FALSE),0)</f>
        <v>-</v>
      </c>
      <c r="G76" s="88">
        <f>IF($B$6="ламель 125",VLOOKUP(F$13,Данные!$A$121:$V$124,3,FALSE),0)</f>
        <v>0</v>
      </c>
      <c r="H76" s="78" t="str">
        <f>IF($B$6="ламель 125",VLOOKUP(H$13,Данные!$A$121:$V$124,2,FALSE),0)</f>
        <v>-</v>
      </c>
      <c r="I76" s="78">
        <f>IF($B$6="ламель 125",VLOOKUP(H$13,Данные!$A$121:$V$124,3,FALSE),0)</f>
        <v>0</v>
      </c>
      <c r="J76" s="186">
        <f>IF(C76=0,0,VLOOKUP($A$19,'Цены Жалюзи'!$B$130:$P$154,2,FALSE)*B76*C76)</f>
        <v>0</v>
      </c>
      <c r="K76" s="76">
        <f>IF(E76=0,0,VLOOKUP($A$19,'Цены Жалюзи'!$B$130:$P$154,2,FALSE)*D76*E76)</f>
        <v>0</v>
      </c>
      <c r="L76" s="76">
        <f>IF(G76=0,0,VLOOKUP($A$19,'Цены Жалюзи'!$B$130:$P$154,2,FALSE)*F76*G76)</f>
        <v>0</v>
      </c>
      <c r="M76" s="76">
        <f>IF(I76=0,0,VLOOKUP($A$19,'Цены Жалюзи'!$B$130:$P$154,2,FALSE)*H76*I76)</f>
        <v>0</v>
      </c>
      <c r="O76" s="13"/>
    </row>
    <row r="77" spans="1:15" ht="16.5" customHeight="1">
      <c r="A77" s="67" t="s">
        <v>121</v>
      </c>
      <c r="B77" s="78" t="str">
        <f aca="true" t="shared" si="5" ref="B77:I77">B76</f>
        <v>-</v>
      </c>
      <c r="C77" s="88">
        <f t="shared" si="5"/>
        <v>0</v>
      </c>
      <c r="D77" s="78" t="str">
        <f t="shared" si="5"/>
        <v>-</v>
      </c>
      <c r="E77" s="88">
        <f t="shared" si="5"/>
        <v>0</v>
      </c>
      <c r="F77" s="78" t="str">
        <f t="shared" si="5"/>
        <v>-</v>
      </c>
      <c r="G77" s="88">
        <f t="shared" si="5"/>
        <v>0</v>
      </c>
      <c r="H77" s="78" t="str">
        <f t="shared" si="5"/>
        <v>-</v>
      </c>
      <c r="I77" s="78">
        <f t="shared" si="5"/>
        <v>0</v>
      </c>
      <c r="J77" s="186">
        <f>IF(C77=0,0,VLOOKUP($A$19,'Цены Жалюзи'!$B$130:$P$154,3,FALSE)*B77*C77)</f>
        <v>0</v>
      </c>
      <c r="K77" s="76">
        <f>IF(E77=0,0,VLOOKUP($A$19,'Цены Жалюзи'!$B$130:$P$154,3,FALSE)*D77*E77)</f>
        <v>0</v>
      </c>
      <c r="L77" s="76">
        <f>IF(G77=0,0,VLOOKUP($A$19,'Цены Жалюзи'!$B$130:$P$154,3,FALSE)*F77*G77)</f>
        <v>0</v>
      </c>
      <c r="M77" s="76">
        <f>IF(I77=0,0,VLOOKUP($A$19,'Цены Жалюзи'!$B$130:$P$154,3,FALSE)*H77*I77)</f>
        <v>0</v>
      </c>
      <c r="O77" s="13"/>
    </row>
    <row r="78" spans="1:15" ht="16.5" customHeight="1">
      <c r="A78" s="67" t="s">
        <v>327</v>
      </c>
      <c r="B78" s="78" t="str">
        <f>IF($B$6="ламель 125",VLOOKUP(B$13,Данные!$A$121:$V$124,4,FALSE),0)</f>
        <v>-</v>
      </c>
      <c r="C78" s="88">
        <f>IF($B$6="ламель 125",VLOOKUP(B$13,Данные!$A$121:$V$124,5,FALSE),0)</f>
        <v>0</v>
      </c>
      <c r="D78" s="78" t="str">
        <f>IF($B$6="ламель 125",VLOOKUP(D$13,Данные!$A$121:$V$124,4,FALSE),0)</f>
        <v>-</v>
      </c>
      <c r="E78" s="88">
        <f>IF($B$6="ламель 125",VLOOKUP(D$13,Данные!$A$121:$V$124,5,FALSE),0)</f>
        <v>0</v>
      </c>
      <c r="F78" s="78" t="str">
        <f>IF($B$6="ламель 125",VLOOKUP(F$13,Данные!$A$121:$V$124,4,FALSE),0)</f>
        <v>-</v>
      </c>
      <c r="G78" s="88">
        <f>IF($B$6="ламель 125",VLOOKUP(F$13,Данные!$A$121:$V$124,5,FALSE),0)</f>
        <v>0</v>
      </c>
      <c r="H78" s="78" t="str">
        <f>IF($B$6="ламель 125",VLOOKUP(H$13,Данные!$A$121:$V$124,4,FALSE),0)</f>
        <v>-</v>
      </c>
      <c r="I78" s="78">
        <f>IF($B$6="ламель 125",VLOOKUP(H$13,Данные!$A$121:$V$124,5,FALSE),0)</f>
        <v>0</v>
      </c>
      <c r="J78" s="186">
        <f>IF(C78=0,0,VLOOKUP($A$19,'Цены Жалюзи'!$B$188:$N$212,2,FALSE)*B78*C78)</f>
        <v>0</v>
      </c>
      <c r="K78" s="76">
        <f>IF(E78=0,0,VLOOKUP($A$19,'Цены Жалюзи'!$B$188:$N$212,2,FALSE)*D78*E78)</f>
        <v>0</v>
      </c>
      <c r="L78" s="76">
        <f>IF(G78=0,0,VLOOKUP($A$19,'Цены Жалюзи'!$B$188:$N$212,2,FALSE)*F78*G78)</f>
        <v>0</v>
      </c>
      <c r="M78" s="76">
        <f>IF(I78=0,0,VLOOKUP($A$19,'Цены Жалюзи'!$B$188:$N$212,2,FALSE)*H78*I78)</f>
        <v>0</v>
      </c>
      <c r="O78" s="13"/>
    </row>
    <row r="79" spans="1:15" ht="16.5" customHeight="1">
      <c r="A79" s="67" t="s">
        <v>328</v>
      </c>
      <c r="B79" s="78" t="str">
        <f aca="true" t="shared" si="6" ref="B79:I79">B78</f>
        <v>-</v>
      </c>
      <c r="C79" s="88">
        <f t="shared" si="6"/>
        <v>0</v>
      </c>
      <c r="D79" s="78" t="str">
        <f t="shared" si="6"/>
        <v>-</v>
      </c>
      <c r="E79" s="88">
        <f t="shared" si="6"/>
        <v>0</v>
      </c>
      <c r="F79" s="78" t="str">
        <f t="shared" si="6"/>
        <v>-</v>
      </c>
      <c r="G79" s="88">
        <f t="shared" si="6"/>
        <v>0</v>
      </c>
      <c r="H79" s="78" t="str">
        <f t="shared" si="6"/>
        <v>-</v>
      </c>
      <c r="I79" s="78">
        <f t="shared" si="6"/>
        <v>0</v>
      </c>
      <c r="J79" s="186">
        <f>IF(C79=0,0,VLOOKUP($A$19,'Цены Жалюзи'!$B$188:$N$212,3,FALSE)*B79*C79)</f>
        <v>0</v>
      </c>
      <c r="K79" s="76">
        <f>IF(E79=0,0,VLOOKUP($A$19,'Цены Жалюзи'!$B$188:$N$212,3,FALSE)*D79*E79)</f>
        <v>0</v>
      </c>
      <c r="L79" s="76">
        <f>IF(G79=0,0,VLOOKUP($A$19,'Цены Жалюзи'!$B$188:$N$212,3,FALSE)*F79*G79)</f>
        <v>0</v>
      </c>
      <c r="M79" s="76">
        <f>IF(I79=0,0,VLOOKUP($A$19,'Цены Жалюзи'!$B$188:$N$212,3,FALSE)*H79*I79)</f>
        <v>0</v>
      </c>
      <c r="O79" s="13"/>
    </row>
    <row r="80" spans="1:15" ht="16.5" customHeight="1">
      <c r="A80" s="67" t="s">
        <v>122</v>
      </c>
      <c r="B80" s="78">
        <f>IF($B$6="ламель 150",VLOOKUP(B$13,Данные!$A$121:$V$124,6,FALSE),0)</f>
        <v>0</v>
      </c>
      <c r="C80" s="88">
        <f>IF($B$6="ламель 150",VLOOKUP(B$13,Данные!$A$121:$V$124,7,FALSE),0)</f>
        <v>0</v>
      </c>
      <c r="D80" s="78">
        <f>IF($B$6="ламель 150",VLOOKUP(D$13,Данные!$A$121:$V$124,6,FALSE),0)</f>
        <v>0</v>
      </c>
      <c r="E80" s="88">
        <f>IF($B$6="ламель 150",VLOOKUP(D$13,Данные!$A$121:$V$124,7,FALSE),0)</f>
        <v>0</v>
      </c>
      <c r="F80" s="78">
        <f>IF($B$6="ламель 150",VLOOKUP(F$13,Данные!$A$121:$V$124,6,FALSE),0)</f>
        <v>0</v>
      </c>
      <c r="G80" s="88">
        <f>IF($B$6="ламель 150",VLOOKUP(F$13,Данные!$A$121:$V$124,7,FALSE),0)</f>
        <v>0</v>
      </c>
      <c r="H80" s="78">
        <f>IF($B$6="ламель 150",VLOOKUP(H$13,Данные!$A$121:$V$124,6,FALSE),0)</f>
        <v>0</v>
      </c>
      <c r="I80" s="78">
        <f>IF($B$6="ламель 150",VLOOKUP(H$13,Данные!$A$121:$V$124,7,FALSE),0)</f>
        <v>0</v>
      </c>
      <c r="J80" s="186">
        <f>IF(C80=0,0,VLOOKUP($A$19,'Цены Жалюзи'!$B$130:$P$154,4,FALSE)*B80*C80)</f>
        <v>0</v>
      </c>
      <c r="K80" s="76">
        <f>IF(E80=0,0,VLOOKUP($A$19,'Цены Жалюзи'!$B$130:$P$154,4,FALSE)*D80*E80)</f>
        <v>0</v>
      </c>
      <c r="L80" s="76">
        <f>IF(G80=0,0,VLOOKUP($A$19,'Цены Жалюзи'!$B$130:$P$154,4,FALSE)*F80*G80)</f>
        <v>0</v>
      </c>
      <c r="M80" s="76">
        <f>IF(I80=0,0,VLOOKUP($A$19,'Цены Жалюзи'!$B$130:$P$154,4,FALSE)*H80*I80)</f>
        <v>0</v>
      </c>
      <c r="O80" s="13"/>
    </row>
    <row r="81" spans="1:15" ht="16.5" customHeight="1">
      <c r="A81" s="67" t="s">
        <v>123</v>
      </c>
      <c r="B81" s="78">
        <f aca="true" t="shared" si="7" ref="B81:I81">B80</f>
        <v>0</v>
      </c>
      <c r="C81" s="88">
        <f t="shared" si="7"/>
        <v>0</v>
      </c>
      <c r="D81" s="78">
        <f t="shared" si="7"/>
        <v>0</v>
      </c>
      <c r="E81" s="88">
        <f t="shared" si="7"/>
        <v>0</v>
      </c>
      <c r="F81" s="78">
        <f t="shared" si="7"/>
        <v>0</v>
      </c>
      <c r="G81" s="88">
        <f t="shared" si="7"/>
        <v>0</v>
      </c>
      <c r="H81" s="78">
        <f t="shared" si="7"/>
        <v>0</v>
      </c>
      <c r="I81" s="78">
        <f t="shared" si="7"/>
        <v>0</v>
      </c>
      <c r="J81" s="186">
        <f>IF(C81=0,0,VLOOKUP($A$19,'Цены Жалюзи'!$B$130:$P$154,5,FALSE)*B81*C81)</f>
        <v>0</v>
      </c>
      <c r="K81" s="76">
        <f>IF(E81=0,0,VLOOKUP($A$19,'Цены Жалюзи'!$B$130:$P$154,5,FALSE)*D81*E81)</f>
        <v>0</v>
      </c>
      <c r="L81" s="76">
        <f>IF(G81=0,0,VLOOKUP($A$19,'Цены Жалюзи'!$B$130:$P$154,5,FALSE)*F81*G81)</f>
        <v>0</v>
      </c>
      <c r="M81" s="76">
        <f>IF(I81=0,0,VLOOKUP($A$19,'Цены Жалюзи'!$B$130:$P$154,5,FALSE)*H81*I81)</f>
        <v>0</v>
      </c>
      <c r="O81" s="13"/>
    </row>
    <row r="82" spans="1:15" ht="16.5" customHeight="1">
      <c r="A82" s="67" t="s">
        <v>362</v>
      </c>
      <c r="B82" s="78">
        <f>IF($B$6="ламель 150",VLOOKUP(B$13,Данные!$A$121:$V$124,8,FALSE),0)</f>
        <v>0</v>
      </c>
      <c r="C82" s="88">
        <f>IF($B$6="ламель 150",VLOOKUP(B$13,Данные!$A$121:$V$124,9,FALSE),0)</f>
        <v>0</v>
      </c>
      <c r="D82" s="78">
        <f>IF($B$6="ламель 150",VLOOKUP(D$13,Данные!$A$121:$V$124,8,FALSE),0)</f>
        <v>0</v>
      </c>
      <c r="E82" s="88">
        <f>IF($B$6="ламель 150",VLOOKUP(D$13,Данные!$A$121:$V$124,9,FALSE),0)</f>
        <v>0</v>
      </c>
      <c r="F82" s="78">
        <f>IF($B$6="ламель 150",VLOOKUP(F$13,Данные!$A$121:$V$124,8,FALSE),0)</f>
        <v>0</v>
      </c>
      <c r="G82" s="88">
        <f>IF($B$6="ламель 150",VLOOKUP(F$13,Данные!$A$121:$V$124,9,FALSE),0)</f>
        <v>0</v>
      </c>
      <c r="H82" s="78">
        <f>IF($B$6="ламель 150",VLOOKUP(H$13,Данные!$A$121:$V$124,8,FALSE),0)</f>
        <v>0</v>
      </c>
      <c r="I82" s="78">
        <f>IF($B$6="ламель 150",VLOOKUP(H$13,Данные!$A$121:$V$124,9,FALSE),0)</f>
        <v>0</v>
      </c>
      <c r="J82" s="186">
        <f>IF(C82=0,0,VLOOKUP($A$19,'Цены Жалюзи'!$B$188:$N$212,4,FALSE)*B82*C82)</f>
        <v>0</v>
      </c>
      <c r="K82" s="76">
        <f>IF(E82=0,0,VLOOKUP($A$19,'Цены Жалюзи'!$B$188:$N$212,4,FALSE)*D82*E82)</f>
        <v>0</v>
      </c>
      <c r="L82" s="76">
        <f>IF(G82=0,0,VLOOKUP($A$19,'Цены Жалюзи'!$B$188:$N$212,4,FALSE)*F82*G82)</f>
        <v>0</v>
      </c>
      <c r="M82" s="76">
        <f>IF(I82=0,0,VLOOKUP($A$19,'Цены Жалюзи'!$B$188:$N$212,4,FALSE)*H82*I82)</f>
        <v>0</v>
      </c>
      <c r="O82" s="13"/>
    </row>
    <row r="83" spans="1:15" ht="16.5" customHeight="1">
      <c r="A83" s="67" t="s">
        <v>363</v>
      </c>
      <c r="B83" s="78">
        <f aca="true" t="shared" si="8" ref="B83:I83">B82</f>
        <v>0</v>
      </c>
      <c r="C83" s="88">
        <f t="shared" si="8"/>
        <v>0</v>
      </c>
      <c r="D83" s="78">
        <f t="shared" si="8"/>
        <v>0</v>
      </c>
      <c r="E83" s="88">
        <f t="shared" si="8"/>
        <v>0</v>
      </c>
      <c r="F83" s="78">
        <f t="shared" si="8"/>
        <v>0</v>
      </c>
      <c r="G83" s="88">
        <f t="shared" si="8"/>
        <v>0</v>
      </c>
      <c r="H83" s="78">
        <f t="shared" si="8"/>
        <v>0</v>
      </c>
      <c r="I83" s="78">
        <f t="shared" si="8"/>
        <v>0</v>
      </c>
      <c r="J83" s="186">
        <f>IF(C83=0,0,VLOOKUP($A$19,'Цены Жалюзи'!$B$188:$N$212,5,FALSE)*B83*C83)</f>
        <v>0</v>
      </c>
      <c r="K83" s="76">
        <f>IF(E83=0,0,VLOOKUP($A$19,'Цены Жалюзи'!$B$188:$N$212,5,FALSE)*D83*E83)</f>
        <v>0</v>
      </c>
      <c r="L83" s="76">
        <f>IF(G83=0,0,VLOOKUP($A$19,'Цены Жалюзи'!$B$188:$N$212,5,FALSE)*F83*G83)</f>
        <v>0</v>
      </c>
      <c r="M83" s="76">
        <f>IF(I83=0,0,VLOOKUP($A$19,'Цены Жалюзи'!$B$188:$N$212,5,FALSE)*H83*I83)</f>
        <v>0</v>
      </c>
      <c r="O83" s="13"/>
    </row>
    <row r="84" spans="1:15" ht="16.5" customHeight="1">
      <c r="A84" s="67" t="s">
        <v>124</v>
      </c>
      <c r="B84" s="78" t="str">
        <f>IF($B$6="ламель 125",VLOOKUP(B$13,Данные!$A$121:$V$124,12,FALSE),0)</f>
        <v>-</v>
      </c>
      <c r="C84" s="88">
        <f>IF(AND($B$6="ламель 125",NOT(B$13="нет")),1,0)</f>
        <v>0</v>
      </c>
      <c r="D84" s="78" t="str">
        <f>IF($B$6="ламель 125",VLOOKUP(D$13,Данные!$A$121:$V$124,12,FALSE),0)</f>
        <v>-</v>
      </c>
      <c r="E84" s="88">
        <f>IF(AND($B$6="ламель 125",NOT(D$13="нет")),1,0)</f>
        <v>0</v>
      </c>
      <c r="F84" s="78" t="str">
        <f>IF($B$6="ламель 125",VLOOKUP(F$13,Данные!$A$121:$V$124,12,FALSE),0)</f>
        <v>-</v>
      </c>
      <c r="G84" s="88">
        <f>IF(AND($B$6="ламель 125",NOT(F$13="нет")),1,0)</f>
        <v>0</v>
      </c>
      <c r="H84" s="78" t="str">
        <f>IF($B$6="ламель 125",VLOOKUP(H$13,Данные!$A$121:$V$124,12,FALSE),0)</f>
        <v>-</v>
      </c>
      <c r="I84" s="78">
        <f>IF(AND($B$6="ламель 125",NOT(H$13="нет")),1,0)</f>
        <v>0</v>
      </c>
      <c r="J84" s="186">
        <f>IF(C84=0,0,VLOOKUP($A$19,'Цены Жалюзи'!$B$130:$P$154,6,FALSE)*B84*C84)</f>
        <v>0</v>
      </c>
      <c r="K84" s="76">
        <f>IF(E84=0,0,VLOOKUP($A$19,'Цены Жалюзи'!$B$130:$P$154,6,FALSE)*D84*E84)</f>
        <v>0</v>
      </c>
      <c r="L84" s="76">
        <f>IF(G84=0,0,VLOOKUP($A$19,'Цены Жалюзи'!$B$130:$P$154,6,FALSE)*F84*G84)</f>
        <v>0</v>
      </c>
      <c r="M84" s="76">
        <f>IF(I84=0,0,VLOOKUP($A$19,'Цены Жалюзи'!$B$130:$P$154,6,FALSE)*H84*I84)</f>
        <v>0</v>
      </c>
      <c r="O84" s="13"/>
    </row>
    <row r="85" spans="1:15" ht="16.5" customHeight="1">
      <c r="A85" s="67" t="s">
        <v>125</v>
      </c>
      <c r="B85" s="78">
        <f>IF($B$6="ламель 150",VLOOKUP(B$13,Данные!$A$121:$V$124,13,FALSE),0)</f>
        <v>0</v>
      </c>
      <c r="C85" s="88">
        <f>IF(AND($B$6="ламель 150",NOT(B$13="нет")),1,0)</f>
        <v>0</v>
      </c>
      <c r="D85" s="78">
        <f>IF($B$6="ламель 150",VLOOKUP(D$13,Данные!$A$121:$V$124,13,FALSE),0)</f>
        <v>0</v>
      </c>
      <c r="E85" s="88">
        <f>IF(AND($B$6="ламель 150",NOT(D$13="нет")),1,0)</f>
        <v>0</v>
      </c>
      <c r="F85" s="78">
        <f>IF($B$6="ламель 150",VLOOKUP(F$13,Данные!$A$121:$V$124,13,FALSE),0)</f>
        <v>0</v>
      </c>
      <c r="G85" s="88">
        <f>IF(AND($B$6="ламель 150",NOT(F$13="нет")),1,0)</f>
        <v>0</v>
      </c>
      <c r="H85" s="78">
        <f>IF($B$6="ламель 150",VLOOKUP(H$13,Данные!$A$121:$V$124,13,FALSE),0)</f>
        <v>0</v>
      </c>
      <c r="I85" s="78">
        <f>IF(AND($B$6="ламель 150",NOT(H$13="нет")),1,0)</f>
        <v>0</v>
      </c>
      <c r="J85" s="186">
        <f>IF(C85=0,0,VLOOKUP($A$19,'Цены Жалюзи'!$B$130:$P$154,7,FALSE)*B85*C85)</f>
        <v>0</v>
      </c>
      <c r="K85" s="76">
        <f>IF(E85=0,0,VLOOKUP($A$19,'Цены Жалюзи'!$B$130:$P$154,7,FALSE)*D85*E85)</f>
        <v>0</v>
      </c>
      <c r="L85" s="76">
        <f>IF(G85=0,0,VLOOKUP($A$19,'Цены Жалюзи'!$B$130:$P$154,7,FALSE)*F85*G85)</f>
        <v>0</v>
      </c>
      <c r="M85" s="76">
        <f>IF(I85=0,0,VLOOKUP($A$19,'Цены Жалюзи'!$B$130:$P$154,7,FALSE)*H85*I85)</f>
        <v>0</v>
      </c>
      <c r="O85" s="13"/>
    </row>
    <row r="86" spans="1:15" ht="16.5" customHeight="1">
      <c r="A86" s="67" t="s">
        <v>145</v>
      </c>
      <c r="B86" s="78" t="str">
        <f>IF($B$6="ламель 125",VLOOKUP(B$13,Данные!$A$121:$V$124,10,FALSE),VLOOKUP(B$13,Данные!$A$121:$V$124,11,FALSE))</f>
        <v>-</v>
      </c>
      <c r="C86" s="88">
        <f>IF(NOT(B$13="нет"),2,0)</f>
        <v>0</v>
      </c>
      <c r="D86" s="78" t="str">
        <f>IF($B$6="ламель 125",VLOOKUP(D$13,Данные!$A$121:$V$124,10,FALSE),VLOOKUP(D$13,Данные!$A$121:$V$124,11,FALSE))</f>
        <v>-</v>
      </c>
      <c r="E86" s="88">
        <f>IF(NOT(D$13="нет"),2,0)</f>
        <v>0</v>
      </c>
      <c r="F86" s="78" t="str">
        <f>IF($B$6="ламель 125",VLOOKUP(F$13,Данные!$A$121:$V$124,10,FALSE),VLOOKUP(F$13,Данные!$A$121:$V$124,11,FALSE))</f>
        <v>-</v>
      </c>
      <c r="G86" s="88">
        <f>IF(NOT(F$13="нет"),2,0)</f>
        <v>0</v>
      </c>
      <c r="H86" s="78" t="str">
        <f>IF($B$6="ламель 125",VLOOKUP(H$13,Данные!$A$121:$V$124,10,FALSE),VLOOKUP(H$13,Данные!$A$121:$V$124,11,FALSE))</f>
        <v>-</v>
      </c>
      <c r="I86" s="78">
        <f>IF(NOT(H$13="нет"),2,0)</f>
        <v>0</v>
      </c>
      <c r="J86" s="186">
        <f>IF(C86=0,0,VLOOKUP($A$19,'Цены Жалюзи'!$B$188:$N$212,6,FALSE)*B86*C86)</f>
        <v>0</v>
      </c>
      <c r="K86" s="76">
        <f>IF(E86=0,0,VLOOKUP($A$19,'Цены Жалюзи'!$B$188:$N$212,6,FALSE)*D86*E86)</f>
        <v>0</v>
      </c>
      <c r="L86" s="76">
        <f>IF(G86=0,0,VLOOKUP($A$19,'Цены Жалюзи'!$B$188:$N$212,6,FALSE)*F86*G86)</f>
        <v>0</v>
      </c>
      <c r="M86" s="76">
        <f>IF(I86=0,0,VLOOKUP($A$19,'Цены Жалюзи'!$B$188:$N$212,6,FALSE)*H86*I86)</f>
        <v>0</v>
      </c>
      <c r="O86" s="13"/>
    </row>
    <row r="87" spans="1:15" ht="16.5" customHeight="1">
      <c r="A87" s="67" t="s">
        <v>168</v>
      </c>
      <c r="B87" s="78" t="s">
        <v>28</v>
      </c>
      <c r="C87" s="88">
        <f>IF($B$6="ламель 125",VLOOKUP(B$13,Данные!$A$121:$V$124,17,FALSE),0)</f>
        <v>0</v>
      </c>
      <c r="D87" s="78" t="s">
        <v>28</v>
      </c>
      <c r="E87" s="88">
        <f>IF($B$6="ламель 125",VLOOKUP(D$13,Данные!$A$121:$V$124,17,FALSE),0)</f>
        <v>0</v>
      </c>
      <c r="F87" s="78" t="s">
        <v>28</v>
      </c>
      <c r="G87" s="88">
        <f>IF($B$6="ламель 125",VLOOKUP(F$13,Данные!$A$121:$V$124,17,FALSE),0)</f>
        <v>0</v>
      </c>
      <c r="H87" s="78" t="s">
        <v>28</v>
      </c>
      <c r="I87" s="78">
        <f>IF($B$6="ламель 125",VLOOKUP(H$13,Данные!$A$121:$V$124,17,FALSE),0)</f>
        <v>0</v>
      </c>
      <c r="J87" s="186">
        <f>IF(C87=0,0,VLOOKUP($A$19,'Цены Жалюзи'!$B$188:$N$212,7,FALSE)*C87)</f>
        <v>0</v>
      </c>
      <c r="K87" s="76">
        <f>IF(E87=0,0,VLOOKUP($A$19,'Цены Жалюзи'!$B$188:$N$212,7,FALSE)*E87)</f>
        <v>0</v>
      </c>
      <c r="L87" s="76">
        <f>IF(G87=0,0,VLOOKUP($A$19,'Цены Жалюзи'!$B$188:$N$212,7,FALSE)*G87)</f>
        <v>0</v>
      </c>
      <c r="M87" s="76">
        <f>IF(I87=0,0,VLOOKUP($A$19,'Цены Жалюзи'!$B$188:$N$212,7,FALSE)*I87)</f>
        <v>0</v>
      </c>
      <c r="O87" s="13"/>
    </row>
    <row r="88" spans="1:15" ht="16.5" customHeight="1">
      <c r="A88" s="67" t="s">
        <v>169</v>
      </c>
      <c r="B88" s="78" t="s">
        <v>28</v>
      </c>
      <c r="C88" s="88">
        <f>IF($B$6="ламель 125",VLOOKUP(B$13,Данные!$A$121:$V$124,18,FALSE),0)</f>
        <v>0</v>
      </c>
      <c r="D88" s="78" t="s">
        <v>28</v>
      </c>
      <c r="E88" s="88">
        <f>IF($B$6="ламель 125",VLOOKUP(D$13,Данные!$A$121:$V$124,18,FALSE),0)</f>
        <v>0</v>
      </c>
      <c r="F88" s="78" t="s">
        <v>28</v>
      </c>
      <c r="G88" s="88">
        <f>IF($B$6="ламель 125",VLOOKUP(F$13,Данные!$A$121:$V$124,18,FALSE),0)</f>
        <v>0</v>
      </c>
      <c r="H88" s="78" t="s">
        <v>28</v>
      </c>
      <c r="I88" s="78">
        <f>IF($B$6="ламель 125",VLOOKUP(H$13,Данные!$A$121:$V$124,18,FALSE),0)</f>
        <v>0</v>
      </c>
      <c r="J88" s="186">
        <f>IF(C88=0,0,VLOOKUP($A$19,'Цены Жалюзи'!$B$188:$N$212,8,FALSE)*C88)</f>
        <v>0</v>
      </c>
      <c r="K88" s="76">
        <f>IF(E88=0,0,VLOOKUP($A$19,'Цены Жалюзи'!$B$188:$N$212,8,FALSE)*E88)</f>
        <v>0</v>
      </c>
      <c r="L88" s="76">
        <f>IF(G88=0,0,VLOOKUP($A$19,'Цены Жалюзи'!$B$188:$N$212,8,FALSE)*G88)</f>
        <v>0</v>
      </c>
      <c r="M88" s="76">
        <f>IF(I88=0,0,VLOOKUP($A$19,'Цены Жалюзи'!$B$188:$N$212,8,FALSE)*I88)</f>
        <v>0</v>
      </c>
      <c r="O88" s="13"/>
    </row>
    <row r="89" spans="1:15" ht="16.5" customHeight="1">
      <c r="A89" s="67" t="s">
        <v>170</v>
      </c>
      <c r="B89" s="78" t="s">
        <v>28</v>
      </c>
      <c r="C89" s="88">
        <f>IF($B$6="ламель 125",VLOOKUP(B$13,Данные!$A$121:$V$124,19,FALSE),0)</f>
        <v>0</v>
      </c>
      <c r="D89" s="78" t="s">
        <v>28</v>
      </c>
      <c r="E89" s="88">
        <f>IF($B$6="ламель 125",VLOOKUP(D$13,Данные!$A$121:$V$124,19,FALSE),0)</f>
        <v>0</v>
      </c>
      <c r="F89" s="78" t="s">
        <v>28</v>
      </c>
      <c r="G89" s="88">
        <f>IF($B$6="ламель 125",VLOOKUP(F$13,Данные!$A$121:$V$124,19,FALSE),0)</f>
        <v>0</v>
      </c>
      <c r="H89" s="78" t="s">
        <v>28</v>
      </c>
      <c r="I89" s="78">
        <f>IF($B$6="ламель 125",VLOOKUP(H$13,Данные!$A$121:$V$124,19,FALSE),0)</f>
        <v>0</v>
      </c>
      <c r="J89" s="186">
        <f>IF(C89=0,0,VLOOKUP($A$19,'Цены Жалюзи'!$B$188:$N$212,9,FALSE)*C89)</f>
        <v>0</v>
      </c>
      <c r="K89" s="76">
        <f>IF(E89=0,0,VLOOKUP($A$19,'Цены Жалюзи'!$B$188:$N$212,9,FALSE)*E89)</f>
        <v>0</v>
      </c>
      <c r="L89" s="76">
        <f>IF(G89=0,0,VLOOKUP($A$19,'Цены Жалюзи'!$B$188:$N$212,9,FALSE)*G89)</f>
        <v>0</v>
      </c>
      <c r="M89" s="76">
        <f>IF(I89=0,0,VLOOKUP($A$19,'Цены Жалюзи'!$B$188:$N$212,9,FALSE)*I89)</f>
        <v>0</v>
      </c>
      <c r="O89" s="13"/>
    </row>
    <row r="90" spans="1:15" ht="16.5" customHeight="1">
      <c r="A90" s="67" t="s">
        <v>171</v>
      </c>
      <c r="B90" s="78" t="s">
        <v>28</v>
      </c>
      <c r="C90" s="88">
        <f>IF($B$6="ламель 150",VLOOKUP(B$13,Данные!$A$121:$V$124,20,FALSE),0)</f>
        <v>0</v>
      </c>
      <c r="D90" s="78" t="s">
        <v>28</v>
      </c>
      <c r="E90" s="88">
        <f>IF($B$6="ламель 150",VLOOKUP(D$13,Данные!$A$121:$V$124,20,FALSE),0)</f>
        <v>0</v>
      </c>
      <c r="F90" s="78" t="s">
        <v>28</v>
      </c>
      <c r="G90" s="88">
        <f>IF($B$6="ламель 150",VLOOKUP(F$13,Данные!$A$121:$V$124,20,FALSE),0)</f>
        <v>0</v>
      </c>
      <c r="H90" s="78" t="s">
        <v>28</v>
      </c>
      <c r="I90" s="78">
        <f>IF($B$6="ламель 150",VLOOKUP(H$13,Данные!$A$121:$V$124,20,FALSE),0)</f>
        <v>0</v>
      </c>
      <c r="J90" s="186">
        <f>IF(C90=0,0,VLOOKUP($A$19,'Цены Жалюзи'!$B$188:$N$212,10,FALSE)*C90)</f>
        <v>0</v>
      </c>
      <c r="K90" s="76">
        <f>IF(E90=0,0,VLOOKUP($A$19,'Цены Жалюзи'!$B$188:$N$212,10,FALSE)*E90)</f>
        <v>0</v>
      </c>
      <c r="L90" s="76">
        <f>IF(G90=0,0,VLOOKUP($A$19,'Цены Жалюзи'!$B$188:$N$212,10,FALSE)*G90)</f>
        <v>0</v>
      </c>
      <c r="M90" s="76">
        <f>IF(I90=0,0,VLOOKUP($A$19,'Цены Жалюзи'!$B$188:$N$212,10,FALSE)*I90)</f>
        <v>0</v>
      </c>
      <c r="O90" s="13"/>
    </row>
    <row r="91" spans="1:15" ht="16.5" customHeight="1">
      <c r="A91" s="67" t="s">
        <v>172</v>
      </c>
      <c r="B91" s="78" t="s">
        <v>28</v>
      </c>
      <c r="C91" s="88">
        <f>IF($B$6="ламель 150",VLOOKUP(B$13,Данные!$A$121:$V$124,21,FALSE),0)</f>
        <v>0</v>
      </c>
      <c r="D91" s="78" t="s">
        <v>28</v>
      </c>
      <c r="E91" s="88">
        <f>IF($B$6="ламель 150",VLOOKUP(D$13,Данные!$A$121:$V$124,21,FALSE),0)</f>
        <v>0</v>
      </c>
      <c r="F91" s="78" t="s">
        <v>28</v>
      </c>
      <c r="G91" s="88">
        <f>IF($B$6="ламель 150",VLOOKUP(F$13,Данные!$A$121:$V$124,21,FALSE),0)</f>
        <v>0</v>
      </c>
      <c r="H91" s="78" t="s">
        <v>28</v>
      </c>
      <c r="I91" s="78">
        <f>IF($B$6="ламель 150",VLOOKUP(H$13,Данные!$A$121:$V$124,21,FALSE),0)</f>
        <v>0</v>
      </c>
      <c r="J91" s="186">
        <f>IF(C91=0,0,VLOOKUP($A$19,'Цены Жалюзи'!$B$188:$N$212,11,FALSE)*C91)</f>
        <v>0</v>
      </c>
      <c r="K91" s="76">
        <f>IF(E91=0,0,VLOOKUP($A$19,'Цены Жалюзи'!$B$188:$N$212,11,FALSE)*E91)</f>
        <v>0</v>
      </c>
      <c r="L91" s="76">
        <f>IF(G91=0,0,VLOOKUP($A$19,'Цены Жалюзи'!$B$188:$N$212,11,FALSE)*G91)</f>
        <v>0</v>
      </c>
      <c r="M91" s="76">
        <f>IF(I91=0,0,VLOOKUP($A$19,'Цены Жалюзи'!$B$188:$N$212,11,FALSE)*I91)</f>
        <v>0</v>
      </c>
      <c r="O91" s="13"/>
    </row>
    <row r="92" spans="1:15" ht="16.5" customHeight="1">
      <c r="A92" s="67" t="s">
        <v>173</v>
      </c>
      <c r="B92" s="78" t="s">
        <v>28</v>
      </c>
      <c r="C92" s="88">
        <f>IF($B$6="ламель 150",VLOOKUP(B$13,Данные!$A$121:$V$124,22,FALSE),0)</f>
        <v>0</v>
      </c>
      <c r="D92" s="78" t="s">
        <v>28</v>
      </c>
      <c r="E92" s="88">
        <f>IF($B$6="ламель 150",VLOOKUP(D$13,Данные!$A$121:$V$124,22,FALSE),0)</f>
        <v>0</v>
      </c>
      <c r="F92" s="78" t="s">
        <v>28</v>
      </c>
      <c r="G92" s="88">
        <f>IF($B$6="ламель 150",VLOOKUP(F$13,Данные!$A$121:$V$124,22,FALSE),0)</f>
        <v>0</v>
      </c>
      <c r="H92" s="78" t="s">
        <v>28</v>
      </c>
      <c r="I92" s="78">
        <f>IF($B$6="ламель 150",VLOOKUP(H$13,Данные!$A$121:$V$124,22,FALSE),0)</f>
        <v>0</v>
      </c>
      <c r="J92" s="186">
        <f>IF(C92=0,0,VLOOKUP($A$19,'Цены Жалюзи'!$B$188:$N$212,12,FALSE)*C92)</f>
        <v>0</v>
      </c>
      <c r="K92" s="76">
        <f>IF(E92=0,0,VLOOKUP($A$19,'Цены Жалюзи'!$B$188:$N$212,12,FALSE)*E92)</f>
        <v>0</v>
      </c>
      <c r="L92" s="76">
        <f>IF(G92=0,0,VLOOKUP($A$19,'Цены Жалюзи'!$B$188:$N$212,12,FALSE)*G92)</f>
        <v>0</v>
      </c>
      <c r="M92" s="76">
        <f>IF(I92=0,0,VLOOKUP($A$19,'Цены Жалюзи'!$B$188:$N$212,12,FALSE)*I92)</f>
        <v>0</v>
      </c>
      <c r="O92" s="13"/>
    </row>
    <row r="93" spans="1:15" ht="16.5" customHeight="1">
      <c r="A93" s="67" t="s">
        <v>273</v>
      </c>
      <c r="B93" s="82" t="str">
        <f>IF(C93=0,"-","4,0х10")</f>
        <v>-</v>
      </c>
      <c r="C93" s="88">
        <f>IF($B$6="ламель 125",VLOOKUP(B$13,Данные!$A$121:$V$124,14,FALSE),VLOOKUP(B$13,Данные!$A$121:$V$124,15,FALSE))</f>
        <v>0</v>
      </c>
      <c r="D93" s="82" t="str">
        <f>IF(E93=0,"-","4,0х10")</f>
        <v>-</v>
      </c>
      <c r="E93" s="88">
        <f>IF($B$6="ламель 125",VLOOKUP(D$13,Данные!$A$121:$V$124,14,FALSE),VLOOKUP(D$13,Данные!$A$121:$V$124,15,FALSE))</f>
        <v>0</v>
      </c>
      <c r="F93" s="82" t="str">
        <f>IF(G93=0,"-","4,0х10")</f>
        <v>-</v>
      </c>
      <c r="G93" s="88">
        <f>IF($B$6="ламель 125",VLOOKUP(F$13,Данные!$A$121:$V$124,14,FALSE),VLOOKUP(F$13,Данные!$A$121:$V$124,15,FALSE))</f>
        <v>0</v>
      </c>
      <c r="H93" s="82" t="str">
        <f>IF(I93=0,"-","4,0х10")</f>
        <v>-</v>
      </c>
      <c r="I93" s="78">
        <f>IF($B$6="ламель 125",VLOOKUP(H$13,Данные!$A$121:$V$124,14,FALSE),VLOOKUP(H$13,Данные!$A$121:$V$124,15,FALSE))</f>
        <v>0</v>
      </c>
      <c r="J93" s="76">
        <f>IF(C93=0,0,C93*'Цены Жалюзи'!$C$228)</f>
        <v>0</v>
      </c>
      <c r="K93" s="76">
        <f>IF(E93=0,0,E93*'Цены Жалюзи'!$C$228)</f>
        <v>0</v>
      </c>
      <c r="L93" s="76">
        <f>IF(G93=0,0,G93*'Цены Жалюзи'!$C$228)</f>
        <v>0</v>
      </c>
      <c r="M93" s="76">
        <f>IF(I93=0,0,I93*'Цены Жалюзи'!$C$228)</f>
        <v>0</v>
      </c>
      <c r="O93" s="13"/>
    </row>
    <row r="94" spans="1:15" ht="16.5" customHeight="1">
      <c r="A94" s="53" t="s">
        <v>129</v>
      </c>
      <c r="B94" s="82" t="str">
        <f>IF(C94=0,"-","4,2x16")</f>
        <v>-</v>
      </c>
      <c r="C94" s="88">
        <f>VLOOKUP(B$13,Данные!$A$121:$V$124,16,FALSE)</f>
        <v>0</v>
      </c>
      <c r="D94" s="82" t="str">
        <f>IF(E94=0,"-","4,2x16")</f>
        <v>-</v>
      </c>
      <c r="E94" s="88">
        <f>VLOOKUP(D$13,Данные!$A$121:$V$124,16,FALSE)</f>
        <v>0</v>
      </c>
      <c r="F94" s="82" t="str">
        <f>IF(G94=0,"-","4,2x16")</f>
        <v>-</v>
      </c>
      <c r="G94" s="88">
        <f>VLOOKUP(F$13,Данные!$A$121:$V$124,16,FALSE)</f>
        <v>0</v>
      </c>
      <c r="H94" s="82" t="str">
        <f>IF(I94=0,"-","4,2x16")</f>
        <v>-</v>
      </c>
      <c r="I94" s="78">
        <f>VLOOKUP(H$13,Данные!$A$121:$V$124,16,FALSE)</f>
        <v>0</v>
      </c>
      <c r="J94" s="76">
        <f>IF(C94=0,0,IF(OR($A$19="Цинк 0,5",$A$19="Цинк 0,55"),C94*'Цены Жалюзи'!$C$224,C94*'Цены Жалюзи'!$C$225))</f>
        <v>0</v>
      </c>
      <c r="K94" s="76">
        <f>IF(E94=0,0,IF(OR($A$19="Цинк 0,5",$A$19="Цинк 0,55"),E94*'Цены Жалюзи'!$C$224,E94*'Цены Жалюзи'!$C$225))</f>
        <v>0</v>
      </c>
      <c r="L94" s="76">
        <f>IF(G94=0,0,IF(OR($A$19="Цинк 0,5",$A$19="Цинк 0,55"),G94*'Цены Жалюзи'!$C$224,G94*'Цены Жалюзи'!$C$225))</f>
        <v>0</v>
      </c>
      <c r="M94" s="76">
        <f>IF(I94=0,0,IF(OR($A$19="Цинк 0,5",$A$19="Цинк 0,55"),I94*'Цены Жалюзи'!$C$224,I94*'Цены Жалюзи'!$C$225))</f>
        <v>0</v>
      </c>
      <c r="O94" s="13"/>
    </row>
    <row r="95" spans="1:15" ht="16.5" customHeight="1">
      <c r="A95" s="101" t="s">
        <v>99</v>
      </c>
      <c r="B95" s="106"/>
      <c r="C95" s="107"/>
      <c r="D95" s="110"/>
      <c r="E95" s="107"/>
      <c r="F95" s="110"/>
      <c r="G95" s="107"/>
      <c r="H95" s="110"/>
      <c r="I95" s="106"/>
      <c r="J95" s="184"/>
      <c r="K95" s="75"/>
      <c r="L95" s="75"/>
      <c r="M95" s="75"/>
      <c r="O95" s="13"/>
    </row>
    <row r="96" spans="1:15" ht="16.5" customHeight="1">
      <c r="A96" s="67" t="s">
        <v>120</v>
      </c>
      <c r="B96" s="78" t="str">
        <f>IF($B$6="ламель 125",VLOOKUP(B$14,Данные!$A$129:$V$150,2,FALSE),0)</f>
        <v>-</v>
      </c>
      <c r="C96" s="88">
        <f>IF($B$6="ламель 125",VLOOKUP(B$14,Данные!$A$129:$V$150,3,FALSE),0)</f>
        <v>0</v>
      </c>
      <c r="D96" s="78" t="str">
        <f>IF($B$6="ламель 125",VLOOKUP(D$14,Данные!$A$129:$V$150,2,FALSE),0)</f>
        <v>-</v>
      </c>
      <c r="E96" s="88">
        <f>IF($B$6="ламель 125",VLOOKUP(D$14,Данные!$A$129:$V$150,3,FALSE),0)</f>
        <v>0</v>
      </c>
      <c r="F96" s="78" t="str">
        <f>IF($B$6="ламель 125",VLOOKUP(F$14,Данные!$A$129:$V$150,2,FALSE),0)</f>
        <v>-</v>
      </c>
      <c r="G96" s="88">
        <f>IF($B$6="ламель 125",VLOOKUP(F$14,Данные!$A$129:$V$150,3,FALSE),0)</f>
        <v>0</v>
      </c>
      <c r="H96" s="78" t="str">
        <f>IF($B$6="ламель 125",VLOOKUP(H$14,Данные!$A$129:$V$150,2,FALSE),0)</f>
        <v>-</v>
      </c>
      <c r="I96" s="78">
        <f>IF($B$6="ламель 125",VLOOKUP(H$14,Данные!$A$129:$V$150,3,FALSE),0)</f>
        <v>0</v>
      </c>
      <c r="J96" s="186">
        <f>IF(C96=0,0,VLOOKUP($A$19,'Цены Жалюзи'!$B$130:$P$154,2,FALSE)*B96*C96)</f>
        <v>0</v>
      </c>
      <c r="K96" s="76">
        <f>IF(E96=0,0,VLOOKUP($A$19,'Цены Жалюзи'!$B$130:$P$154,2,FALSE)*D96*E96)</f>
        <v>0</v>
      </c>
      <c r="L96" s="76">
        <f>IF(G96=0,0,VLOOKUP($A$19,'Цены Жалюзи'!$B$130:$P$154,2,FALSE)*F96*G96)</f>
        <v>0</v>
      </c>
      <c r="M96" s="76">
        <f>IF(I96=0,0,VLOOKUP($A$19,'Цены Жалюзи'!$B$130:$P$154,2,FALSE)*H96*I96)</f>
        <v>0</v>
      </c>
      <c r="O96" s="13"/>
    </row>
    <row r="97" spans="1:15" ht="16.5" customHeight="1">
      <c r="A97" s="67" t="s">
        <v>121</v>
      </c>
      <c r="B97" s="78" t="str">
        <f aca="true" t="shared" si="9" ref="B97:I97">B96</f>
        <v>-</v>
      </c>
      <c r="C97" s="88">
        <f t="shared" si="9"/>
        <v>0</v>
      </c>
      <c r="D97" s="78" t="str">
        <f t="shared" si="9"/>
        <v>-</v>
      </c>
      <c r="E97" s="88">
        <f t="shared" si="9"/>
        <v>0</v>
      </c>
      <c r="F97" s="78" t="str">
        <f t="shared" si="9"/>
        <v>-</v>
      </c>
      <c r="G97" s="88">
        <f t="shared" si="9"/>
        <v>0</v>
      </c>
      <c r="H97" s="78" t="str">
        <f t="shared" si="9"/>
        <v>-</v>
      </c>
      <c r="I97" s="78">
        <f t="shared" si="9"/>
        <v>0</v>
      </c>
      <c r="J97" s="186">
        <f>IF(C97=0,0,VLOOKUP($A$19,'Цены Жалюзи'!$B$130:$P$154,3,FALSE)*B97*C97)</f>
        <v>0</v>
      </c>
      <c r="K97" s="76">
        <f>IF(E97=0,0,VLOOKUP($A$19,'Цены Жалюзи'!$B$130:$P$154,3,FALSE)*D97*E97)</f>
        <v>0</v>
      </c>
      <c r="L97" s="76">
        <f>IF(G97=0,0,VLOOKUP($A$19,'Цены Жалюзи'!$B$130:$P$154,3,FALSE)*F97*G97)</f>
        <v>0</v>
      </c>
      <c r="M97" s="76">
        <f>IF(I97=0,0,VLOOKUP($A$19,'Цены Жалюзи'!$B$130:$P$154,3,FALSE)*H97*I97)</f>
        <v>0</v>
      </c>
      <c r="O97" s="13"/>
    </row>
    <row r="98" spans="1:15" ht="16.5" customHeight="1">
      <c r="A98" s="67" t="s">
        <v>361</v>
      </c>
      <c r="B98" s="78" t="str">
        <f>IF($B$6="ламель 125",VLOOKUP(B$14,Данные!$A$129:$V$150,4,FALSE),0)</f>
        <v>-</v>
      </c>
      <c r="C98" s="88">
        <f>IF($B$6="ламель 125",VLOOKUP(B$14,Данные!$A$129:$V$150,5,FALSE),0)</f>
        <v>0</v>
      </c>
      <c r="D98" s="78" t="str">
        <f>IF($B$6="ламель 125",VLOOKUP(D$14,Данные!$A$129:$V$150,4,FALSE),0)</f>
        <v>-</v>
      </c>
      <c r="E98" s="88">
        <f>IF($B$6="ламель 125",VLOOKUP(D$14,Данные!$A$129:$V$150,5,FALSE),0)</f>
        <v>0</v>
      </c>
      <c r="F98" s="78" t="str">
        <f>IF($B$6="ламель 125",VLOOKUP(F$14,Данные!$A$129:$V$150,4,FALSE),0)</f>
        <v>-</v>
      </c>
      <c r="G98" s="88">
        <f>IF($B$6="ламель 125",VLOOKUP(F$14,Данные!$A$129:$V$150,5,FALSE),0)</f>
        <v>0</v>
      </c>
      <c r="H98" s="78" t="str">
        <f>IF($B$6="ламель 125",VLOOKUP(H$14,Данные!$A$129:$V$150,4,FALSE),0)</f>
        <v>-</v>
      </c>
      <c r="I98" s="78">
        <f>IF($B$6="ламель 125",VLOOKUP(H$14,Данные!$A$129:$V$150,5,FALSE),0)</f>
        <v>0</v>
      </c>
      <c r="J98" s="186">
        <f>IF(C98=0,0,VLOOKUP($A$19,'Цены Жалюзи'!$B$188:$N$212,2,FALSE)*B98*C98)</f>
        <v>0</v>
      </c>
      <c r="K98" s="76">
        <f>IF(E98=0,0,VLOOKUP($A$19,'Цены Жалюзи'!$B$188:$N$212,2,FALSE)*D98*E98)</f>
        <v>0</v>
      </c>
      <c r="L98" s="76">
        <f>IF(G98=0,0,VLOOKUP($A$19,'Цены Жалюзи'!$B$188:$N$212,2,FALSE)*F98*G98)</f>
        <v>0</v>
      </c>
      <c r="M98" s="76">
        <f>IF(I98=0,0,VLOOKUP($A$19,'Цены Жалюзи'!$B$188:$N$212,2,FALSE)*H98*I98)</f>
        <v>0</v>
      </c>
      <c r="O98" s="13"/>
    </row>
    <row r="99" spans="1:15" ht="16.5" customHeight="1">
      <c r="A99" s="67" t="s">
        <v>328</v>
      </c>
      <c r="B99" s="78" t="str">
        <f aca="true" t="shared" si="10" ref="B99:I99">B98</f>
        <v>-</v>
      </c>
      <c r="C99" s="88">
        <f t="shared" si="10"/>
        <v>0</v>
      </c>
      <c r="D99" s="78" t="str">
        <f t="shared" si="10"/>
        <v>-</v>
      </c>
      <c r="E99" s="88">
        <f t="shared" si="10"/>
        <v>0</v>
      </c>
      <c r="F99" s="78" t="str">
        <f t="shared" si="10"/>
        <v>-</v>
      </c>
      <c r="G99" s="88">
        <f t="shared" si="10"/>
        <v>0</v>
      </c>
      <c r="H99" s="78" t="str">
        <f t="shared" si="10"/>
        <v>-</v>
      </c>
      <c r="I99" s="78">
        <f t="shared" si="10"/>
        <v>0</v>
      </c>
      <c r="J99" s="186">
        <f>IF(C99=0,0,VLOOKUP($A$19,'Цены Жалюзи'!$B$188:$N$212,3,FALSE)*B99*C99)</f>
        <v>0</v>
      </c>
      <c r="K99" s="76">
        <f>IF(E99=0,0,VLOOKUP($A$19,'Цены Жалюзи'!$B$188:$N$212,3,FALSE)*D99*E99)</f>
        <v>0</v>
      </c>
      <c r="L99" s="76">
        <f>IF(G99=0,0,VLOOKUP($A$19,'Цены Жалюзи'!$B$188:$N$212,3,FALSE)*F99*G99)</f>
        <v>0</v>
      </c>
      <c r="M99" s="76">
        <f>IF(I99=0,0,VLOOKUP($A$19,'Цены Жалюзи'!$B$188:$N$212,3,FALSE)*H99*I99)</f>
        <v>0</v>
      </c>
      <c r="O99" s="13"/>
    </row>
    <row r="100" spans="1:15" ht="16.5" customHeight="1">
      <c r="A100" s="67" t="s">
        <v>122</v>
      </c>
      <c r="B100" s="78">
        <f>IF($B$6="ламель 150",VLOOKUP(B$14,Данные!$A$129:$V$150,6,FALSE),0)</f>
        <v>0</v>
      </c>
      <c r="C100" s="88">
        <f>IF($B$6="ламель 150",VLOOKUP(B$14,Данные!$A$129:$V$150,7,FALSE),0)</f>
        <v>0</v>
      </c>
      <c r="D100" s="78">
        <f>IF($B$6="ламель 150",VLOOKUP(D$14,Данные!$A$129:$V$150,6,FALSE),0)</f>
        <v>0</v>
      </c>
      <c r="E100" s="88">
        <f>IF($B$6="ламель 150",VLOOKUP(D$14,Данные!$A$129:$V$150,7,FALSE),0)</f>
        <v>0</v>
      </c>
      <c r="F100" s="78">
        <f>IF($B$6="ламель 150",VLOOKUP(F$14,Данные!$A$129:$V$150,6,FALSE),0)</f>
        <v>0</v>
      </c>
      <c r="G100" s="88">
        <f>IF($B$6="ламель 150",VLOOKUP(F$14,Данные!$A$129:$V$150,7,FALSE),0)</f>
        <v>0</v>
      </c>
      <c r="H100" s="78">
        <f>IF($B$6="ламель 150",VLOOKUP(H$14,Данные!$A$129:$V$150,6,FALSE),0)</f>
        <v>0</v>
      </c>
      <c r="I100" s="78">
        <f>IF($B$6="ламель 150",VLOOKUP(H$14,Данные!$A$129:$V$150,7,FALSE),0)</f>
        <v>0</v>
      </c>
      <c r="J100" s="186">
        <f>IF(C100=0,0,VLOOKUP($A$19,'Цены Жалюзи'!$B$130:$P$154,4,FALSE)*B100*C100)</f>
        <v>0</v>
      </c>
      <c r="K100" s="76">
        <f>IF(E100=0,0,VLOOKUP($A$19,'Цены Жалюзи'!$B$130:$P$154,4,FALSE)*D100*E100)</f>
        <v>0</v>
      </c>
      <c r="L100" s="76">
        <f>IF(G100=0,0,VLOOKUP($A$19,'Цены Жалюзи'!$B$130:$P$154,4,FALSE)*F100*G100)</f>
        <v>0</v>
      </c>
      <c r="M100" s="76">
        <f>IF(I100=0,0,VLOOKUP($A$19,'Цены Жалюзи'!$B$130:$P$154,4,FALSE)*H100*I100)</f>
        <v>0</v>
      </c>
      <c r="O100" s="13"/>
    </row>
    <row r="101" spans="1:15" ht="16.5" customHeight="1">
      <c r="A101" s="67" t="s">
        <v>123</v>
      </c>
      <c r="B101" s="78">
        <f aca="true" t="shared" si="11" ref="B101:I101">B100</f>
        <v>0</v>
      </c>
      <c r="C101" s="88">
        <f t="shared" si="11"/>
        <v>0</v>
      </c>
      <c r="D101" s="78">
        <f t="shared" si="11"/>
        <v>0</v>
      </c>
      <c r="E101" s="88">
        <f t="shared" si="11"/>
        <v>0</v>
      </c>
      <c r="F101" s="78">
        <f t="shared" si="11"/>
        <v>0</v>
      </c>
      <c r="G101" s="88">
        <f t="shared" si="11"/>
        <v>0</v>
      </c>
      <c r="H101" s="78">
        <f t="shared" si="11"/>
        <v>0</v>
      </c>
      <c r="I101" s="78">
        <f t="shared" si="11"/>
        <v>0</v>
      </c>
      <c r="J101" s="186">
        <f>IF(C101=0,0,VLOOKUP($A$19,'Цены Жалюзи'!$B$130:$P$154,5,FALSE)*B101*C101)</f>
        <v>0</v>
      </c>
      <c r="K101" s="76">
        <f>IF(E101=0,0,VLOOKUP($A$19,'Цены Жалюзи'!$B$130:$P$154,5,FALSE)*D101*E101)</f>
        <v>0</v>
      </c>
      <c r="L101" s="76">
        <f>IF(G101=0,0,VLOOKUP($A$19,'Цены Жалюзи'!$B$130:$P$154,5,FALSE)*F101*G101)</f>
        <v>0</v>
      </c>
      <c r="M101" s="76">
        <f>IF(I101=0,0,VLOOKUP($A$19,'Цены Жалюзи'!$B$130:$P$154,5,FALSE)*H101*I101)</f>
        <v>0</v>
      </c>
      <c r="O101" s="13"/>
    </row>
    <row r="102" spans="1:15" ht="16.5" customHeight="1">
      <c r="A102" s="67" t="s">
        <v>362</v>
      </c>
      <c r="B102" s="78">
        <f>IF($B$6="ламель 150",VLOOKUP(B$14,Данные!$A$129:$V$150,8,FALSE),0)</f>
        <v>0</v>
      </c>
      <c r="C102" s="88">
        <f>IF($B$6="ламель 150",VLOOKUP(B$14,Данные!$A$129:$V$150,9,FALSE),0)</f>
        <v>0</v>
      </c>
      <c r="D102" s="78">
        <f>IF($B$6="ламель 150",VLOOKUP(D$14,Данные!$A$129:$V$150,8,FALSE),0)</f>
        <v>0</v>
      </c>
      <c r="E102" s="88">
        <f>IF($B$6="ламель 150",VLOOKUP(D$14,Данные!$A$129:$V$150,9,FALSE),0)</f>
        <v>0</v>
      </c>
      <c r="F102" s="78">
        <f>IF($B$6="ламель 150",VLOOKUP(F$14,Данные!$A$129:$V$150,8,FALSE),0)</f>
        <v>0</v>
      </c>
      <c r="G102" s="88">
        <f>IF($B$6="ламель 150",VLOOKUP(F$14,Данные!$A$129:$V$150,9,FALSE),0)</f>
        <v>0</v>
      </c>
      <c r="H102" s="78">
        <f>IF($B$6="ламель 150",VLOOKUP(H$14,Данные!$A$129:$V$150,8,FALSE),0)</f>
        <v>0</v>
      </c>
      <c r="I102" s="78">
        <f>IF($B$6="ламель 150",VLOOKUP(H$14,Данные!$A$129:$V$150,9,FALSE),0)</f>
        <v>0</v>
      </c>
      <c r="J102" s="186">
        <f>IF(C102=0,0,VLOOKUP($A$19,'Цены Жалюзи'!$B$188:$N$212,4,FALSE)*B102*C102)</f>
        <v>0</v>
      </c>
      <c r="K102" s="76">
        <f>IF(E102=0,0,VLOOKUP($A$19,'Цены Жалюзи'!$B$188:$N$212,4,FALSE)*D102*E102)</f>
        <v>0</v>
      </c>
      <c r="L102" s="76">
        <f>IF(G102=0,0,VLOOKUP($A$19,'Цены Жалюзи'!$B$188:$N$212,4,FALSE)*F102*G102)</f>
        <v>0</v>
      </c>
      <c r="M102" s="76">
        <f>IF(I102=0,0,VLOOKUP($A$19,'Цены Жалюзи'!$B$188:$N$212,4,FALSE)*H102*I102)</f>
        <v>0</v>
      </c>
      <c r="O102" s="13"/>
    </row>
    <row r="103" spans="1:15" ht="16.5" customHeight="1">
      <c r="A103" s="67" t="s">
        <v>363</v>
      </c>
      <c r="B103" s="78">
        <f aca="true" t="shared" si="12" ref="B103:I103">B102</f>
        <v>0</v>
      </c>
      <c r="C103" s="88">
        <f t="shared" si="12"/>
        <v>0</v>
      </c>
      <c r="D103" s="78">
        <f t="shared" si="12"/>
        <v>0</v>
      </c>
      <c r="E103" s="88">
        <f t="shared" si="12"/>
        <v>0</v>
      </c>
      <c r="F103" s="78">
        <f t="shared" si="12"/>
        <v>0</v>
      </c>
      <c r="G103" s="88">
        <f t="shared" si="12"/>
        <v>0</v>
      </c>
      <c r="H103" s="78">
        <f t="shared" si="12"/>
        <v>0</v>
      </c>
      <c r="I103" s="78">
        <f t="shared" si="12"/>
        <v>0</v>
      </c>
      <c r="J103" s="186">
        <f>IF(C103=0,0,VLOOKUP($A$19,'Цены Жалюзи'!$B$188:$N$212,5,FALSE)*B103*C103)</f>
        <v>0</v>
      </c>
      <c r="K103" s="76">
        <f>IF(E103=0,0,VLOOKUP($A$19,'Цены Жалюзи'!$B$188:$N$212,5,FALSE)*D103*E103)</f>
        <v>0</v>
      </c>
      <c r="L103" s="76">
        <f>IF(G103=0,0,VLOOKUP($A$19,'Цены Жалюзи'!$B$188:$N$212,5,FALSE)*F103*G103)</f>
        <v>0</v>
      </c>
      <c r="M103" s="76">
        <f>IF(I103=0,0,VLOOKUP($A$19,'Цены Жалюзи'!$B$188:$N$212,5,FALSE)*H103*I103)</f>
        <v>0</v>
      </c>
      <c r="O103" s="13"/>
    </row>
    <row r="104" spans="1:15" ht="16.5" customHeight="1">
      <c r="A104" s="67" t="s">
        <v>124</v>
      </c>
      <c r="B104" s="78" t="str">
        <f>IF($B$6="ламель 125",VLOOKUP(B$14,Данные!$A$129:$V$150,12,FALSE),0)</f>
        <v>-</v>
      </c>
      <c r="C104" s="88">
        <f>IF(AND($B$6="ламель 125",NOT(B$14="нет")),2,0)</f>
        <v>0</v>
      </c>
      <c r="D104" s="78" t="str">
        <f>IF($B$6="ламель 125",VLOOKUP(D$14,Данные!$A$129:$V$150,12,FALSE),0)</f>
        <v>-</v>
      </c>
      <c r="E104" s="88">
        <f>IF(AND($B$6="ламель 125",NOT(D$14="нет")),2,0)</f>
        <v>0</v>
      </c>
      <c r="F104" s="78" t="str">
        <f>IF($B$6="ламель 125",VLOOKUP(F$14,Данные!$A$129:$V$150,12,FALSE),0)</f>
        <v>-</v>
      </c>
      <c r="G104" s="88">
        <f>IF(AND($B$6="ламель 125",NOT(F$14="нет")),2,0)</f>
        <v>0</v>
      </c>
      <c r="H104" s="78" t="str">
        <f>IF($B$6="ламель 125",VLOOKUP(H$14,Данные!$A$129:$V$150,12,FALSE),0)</f>
        <v>-</v>
      </c>
      <c r="I104" s="78">
        <f>IF(AND($B$6="ламель 125",NOT(H$14="нет")),2,0)</f>
        <v>0</v>
      </c>
      <c r="J104" s="186">
        <f>IF(C104=0,0,VLOOKUP($A$19,'Цены Жалюзи'!$B$130:$P$154,6,FALSE)*B104*C104)</f>
        <v>0</v>
      </c>
      <c r="K104" s="76">
        <f>IF(E104=0,0,VLOOKUP($A$19,'Цены Жалюзи'!$B$130:$P$154,6,FALSE)*D104*E104)</f>
        <v>0</v>
      </c>
      <c r="L104" s="76">
        <f>IF(G104=0,0,VLOOKUP($A$19,'Цены Жалюзи'!$B$130:$P$154,6,FALSE)*F104*G104)</f>
        <v>0</v>
      </c>
      <c r="M104" s="76">
        <f>IF(I104=0,0,VLOOKUP($A$19,'Цены Жалюзи'!$B$130:$P$154,6,FALSE)*H104*I104)</f>
        <v>0</v>
      </c>
      <c r="O104" s="13"/>
    </row>
    <row r="105" spans="1:15" ht="16.5" customHeight="1">
      <c r="A105" s="67" t="s">
        <v>125</v>
      </c>
      <c r="B105" s="78">
        <f>IF($B$6="ламель 150",VLOOKUP(B$14,Данные!$A$129:$V$150,13,FALSE),0)</f>
        <v>0</v>
      </c>
      <c r="C105" s="88">
        <f>IF(AND($B$6="ламель 150",NOT(B$14="нет")),2,0)</f>
        <v>0</v>
      </c>
      <c r="D105" s="78">
        <f>IF($B$6="ламель 150",VLOOKUP(D$14,Данные!$A$129:$V$150,13,FALSE),0)</f>
        <v>0</v>
      </c>
      <c r="E105" s="88">
        <f>IF(AND($B$6="ламель 150",NOT(D$14="нет")),2,0)</f>
        <v>0</v>
      </c>
      <c r="F105" s="78">
        <f>IF($B$6="ламель 150",VLOOKUP(F$14,Данные!$A$129:$V$150,13,FALSE),0)</f>
        <v>0</v>
      </c>
      <c r="G105" s="88">
        <f>IF(AND($B$6="ламель 150",NOT(F$14="нет")),2,0)</f>
        <v>0</v>
      </c>
      <c r="H105" s="78">
        <f>IF($B$6="ламель 150",VLOOKUP(H$14,Данные!$A$129:$V$150,13,FALSE),0)</f>
        <v>0</v>
      </c>
      <c r="I105" s="78">
        <f>IF(AND($B$6="ламель 150",NOT(H$14="нет")),2,0)</f>
        <v>0</v>
      </c>
      <c r="J105" s="186">
        <f>IF(C105=0,0,VLOOKUP($A$19,'Цены Жалюзи'!$B$130:$P$154,7,FALSE)*B105*C105)</f>
        <v>0</v>
      </c>
      <c r="K105" s="76">
        <f>IF(E105=0,0,VLOOKUP($A$19,'Цены Жалюзи'!$B$130:$P$154,7,FALSE)*D105*E105)</f>
        <v>0</v>
      </c>
      <c r="L105" s="76">
        <f>IF(G105=0,0,VLOOKUP($A$19,'Цены Жалюзи'!$B$130:$P$154,7,FALSE)*F105*G105)</f>
        <v>0</v>
      </c>
      <c r="M105" s="76">
        <f>IF(I105=0,0,VLOOKUP($A$19,'Цены Жалюзи'!$B$130:$P$154,7,FALSE)*H105*I105)</f>
        <v>0</v>
      </c>
      <c r="O105" s="13"/>
    </row>
    <row r="106" spans="1:15" ht="16.5" customHeight="1">
      <c r="A106" s="67" t="s">
        <v>145</v>
      </c>
      <c r="B106" s="78" t="str">
        <f>IF($B$6="ламель 125",VLOOKUP(B$14,Данные!$A$129:$V$150,10,FALSE),VLOOKUP(B$14,Данные!$A$129:$V$150,11,FALSE))</f>
        <v>-</v>
      </c>
      <c r="C106" s="88">
        <f>IF(NOT(B$14="нет"),4,0)</f>
        <v>0</v>
      </c>
      <c r="D106" s="78" t="str">
        <f>IF($B$6="ламель 125",VLOOKUP(D$14,Данные!$A$129:$V$150,10,FALSE),VLOOKUP(D$14,Данные!$A$129:$V$150,11,FALSE))</f>
        <v>-</v>
      </c>
      <c r="E106" s="88">
        <f>IF(NOT(D$14="нет"),4,0)</f>
        <v>0</v>
      </c>
      <c r="F106" s="78" t="str">
        <f>IF($B$6="ламель 125",VLOOKUP(F$14,Данные!$A$129:$V$150,10,FALSE),VLOOKUP(F$14,Данные!$A$129:$V$150,11,FALSE))</f>
        <v>-</v>
      </c>
      <c r="G106" s="88">
        <f>IF(NOT(F$14="нет"),4,0)</f>
        <v>0</v>
      </c>
      <c r="H106" s="78" t="str">
        <f>IF($B$6="ламель 125",VLOOKUP(H$14,Данные!$A$129:$V$150,10,FALSE),VLOOKUP(H$14,Данные!$A$129:$V$150,11,FALSE))</f>
        <v>-</v>
      </c>
      <c r="I106" s="78">
        <f>IF(NOT(H$14="нет"),4,0)</f>
        <v>0</v>
      </c>
      <c r="J106" s="186">
        <f>IF(C106=0,0,VLOOKUP($A$19,'Цены Жалюзи'!$B$188:$N$212,6,FALSE)*B106*C106)</f>
        <v>0</v>
      </c>
      <c r="K106" s="76">
        <f>IF(E106=0,0,VLOOKUP($A$19,'Цены Жалюзи'!$B$188:$N$212,6,FALSE)*D106*E106)</f>
        <v>0</v>
      </c>
      <c r="L106" s="76">
        <f>IF(G106=0,0,VLOOKUP($A$19,'Цены Жалюзи'!$B$188:$N$212,6,FALSE)*F106*G106)</f>
        <v>0</v>
      </c>
      <c r="M106" s="76">
        <f>IF(I106=0,0,VLOOKUP($A$19,'Цены Жалюзи'!$B$188:$N$212,6,FALSE)*H106*I106)</f>
        <v>0</v>
      </c>
      <c r="O106" s="13"/>
    </row>
    <row r="107" spans="1:15" ht="16.5" customHeight="1">
      <c r="A107" s="67" t="s">
        <v>168</v>
      </c>
      <c r="B107" s="78" t="s">
        <v>28</v>
      </c>
      <c r="C107" s="88">
        <f>IF($B$6="ламель 125",VLOOKUP(B$14,Данные!$A$129:$V$150,17,FALSE),0)</f>
        <v>0</v>
      </c>
      <c r="D107" s="78" t="s">
        <v>28</v>
      </c>
      <c r="E107" s="88">
        <f>IF($B$6="ламель 125",VLOOKUP(D$14,Данные!$A$129:$V$150,17,FALSE),0)</f>
        <v>0</v>
      </c>
      <c r="F107" s="78" t="s">
        <v>28</v>
      </c>
      <c r="G107" s="88">
        <f>IF($B$6="ламель 125",VLOOKUP(F$14,Данные!$A$129:$V$150,17,FALSE),0)</f>
        <v>0</v>
      </c>
      <c r="H107" s="78" t="s">
        <v>28</v>
      </c>
      <c r="I107" s="78">
        <f>IF($B$6="ламель 125",VLOOKUP(H$14,Данные!$A$129:$V$150,17,FALSE),0)</f>
        <v>0</v>
      </c>
      <c r="J107" s="186">
        <f>IF(C107=0,0,VLOOKUP($A$19,'Цены Жалюзи'!$B$188:$N$212,7,FALSE)*C107)</f>
        <v>0</v>
      </c>
      <c r="K107" s="76">
        <f>IF(E107=0,0,VLOOKUP($A$19,'Цены Жалюзи'!$B$188:$N$212,7,FALSE)*E107)</f>
        <v>0</v>
      </c>
      <c r="L107" s="76">
        <f>IF(G107=0,0,VLOOKUP($A$19,'Цены Жалюзи'!$B$188:$N$212,7,FALSE)*G107)</f>
        <v>0</v>
      </c>
      <c r="M107" s="76">
        <f>IF(I107=0,0,VLOOKUP($A$19,'Цены Жалюзи'!$B$188:$N$212,7,FALSE)*I107)</f>
        <v>0</v>
      </c>
      <c r="O107" s="13"/>
    </row>
    <row r="108" spans="1:15" ht="16.5" customHeight="1">
      <c r="A108" s="67" t="s">
        <v>169</v>
      </c>
      <c r="B108" s="78" t="s">
        <v>28</v>
      </c>
      <c r="C108" s="88">
        <f>IF($B$6="ламель 125",VLOOKUP(B$14,Данные!$A$129:$V$150,18,FALSE),0)</f>
        <v>0</v>
      </c>
      <c r="D108" s="78" t="s">
        <v>28</v>
      </c>
      <c r="E108" s="88">
        <f>IF($B$6="ламель 125",VLOOKUP(D$14,Данные!$A$129:$V$150,18,FALSE),0)</f>
        <v>0</v>
      </c>
      <c r="F108" s="78" t="s">
        <v>28</v>
      </c>
      <c r="G108" s="88">
        <f>IF($B$6="ламель 125",VLOOKUP(F$14,Данные!$A$129:$V$150,18,FALSE),0)</f>
        <v>0</v>
      </c>
      <c r="H108" s="78" t="s">
        <v>28</v>
      </c>
      <c r="I108" s="78">
        <f>IF($B$6="ламель 125",VLOOKUP(H$14,Данные!$A$129:$V$150,18,FALSE),0)</f>
        <v>0</v>
      </c>
      <c r="J108" s="186">
        <f>IF(C108=0,0,VLOOKUP($A$19,'Цены Жалюзи'!$B$188:$N$212,8,FALSE)*C108)</f>
        <v>0</v>
      </c>
      <c r="K108" s="76">
        <f>IF(E108=0,0,VLOOKUP($A$19,'Цены Жалюзи'!$B$188:$N$212,8,FALSE)*E108)</f>
        <v>0</v>
      </c>
      <c r="L108" s="76">
        <f>IF(G108=0,0,VLOOKUP($A$19,'Цены Жалюзи'!$B$188:$N$212,8,FALSE)*G108)</f>
        <v>0</v>
      </c>
      <c r="M108" s="76">
        <f>IF(I108=0,0,VLOOKUP($A$19,'Цены Жалюзи'!$B$188:$N$212,8,FALSE)*I108)</f>
        <v>0</v>
      </c>
      <c r="O108" s="13"/>
    </row>
    <row r="109" spans="1:15" ht="16.5" customHeight="1">
      <c r="A109" s="67" t="s">
        <v>170</v>
      </c>
      <c r="B109" s="78" t="s">
        <v>28</v>
      </c>
      <c r="C109" s="88">
        <f>IF($B$6="ламель 125",VLOOKUP(B$14,Данные!$A$129:$V$150,19,FALSE),0)</f>
        <v>0</v>
      </c>
      <c r="D109" s="78" t="s">
        <v>28</v>
      </c>
      <c r="E109" s="88">
        <f>IF($B$6="ламель 125",VLOOKUP(D$14,Данные!$A$129:$V$150,19,FALSE),0)</f>
        <v>0</v>
      </c>
      <c r="F109" s="78" t="s">
        <v>28</v>
      </c>
      <c r="G109" s="88">
        <f>IF($B$6="ламель 125",VLOOKUP(F$14,Данные!$A$129:$V$150,19,FALSE),0)</f>
        <v>0</v>
      </c>
      <c r="H109" s="78" t="s">
        <v>28</v>
      </c>
      <c r="I109" s="78">
        <f>IF($B$6="ламель 125",VLOOKUP(H$14,Данные!$A$129:$V$150,19,FALSE),0)</f>
        <v>0</v>
      </c>
      <c r="J109" s="186">
        <f>IF(C109=0,0,VLOOKUP($A$19,'Цены Жалюзи'!$B$188:$N$212,9,FALSE)*C109)</f>
        <v>0</v>
      </c>
      <c r="K109" s="76">
        <f>IF(E109=0,0,VLOOKUP($A$19,'Цены Жалюзи'!$B$188:$N$212,9,FALSE)*E109)</f>
        <v>0</v>
      </c>
      <c r="L109" s="76">
        <f>IF(G109=0,0,VLOOKUP($A$19,'Цены Жалюзи'!$B$188:$N$212,9,FALSE)*G109)</f>
        <v>0</v>
      </c>
      <c r="M109" s="76">
        <f>IF(I109=0,0,VLOOKUP($A$19,'Цены Жалюзи'!$B$188:$N$212,9,FALSE)*I109)</f>
        <v>0</v>
      </c>
      <c r="O109" s="13"/>
    </row>
    <row r="110" spans="1:15" ht="16.5" customHeight="1">
      <c r="A110" s="67" t="s">
        <v>171</v>
      </c>
      <c r="B110" s="78" t="s">
        <v>28</v>
      </c>
      <c r="C110" s="88">
        <f>IF($B$6="ламель 150",VLOOKUP(B$14,Данные!$A$129:$V$150,20,FALSE),0)</f>
        <v>0</v>
      </c>
      <c r="D110" s="78" t="s">
        <v>28</v>
      </c>
      <c r="E110" s="88">
        <f>IF($B$6="ламель 150",VLOOKUP(D$14,Данные!$A$129:$V$150,20,FALSE),0)</f>
        <v>0</v>
      </c>
      <c r="F110" s="78" t="s">
        <v>28</v>
      </c>
      <c r="G110" s="88">
        <f>IF($B$6="ламель 150",VLOOKUP(F$14,Данные!$A$129:$V$150,20,FALSE),0)</f>
        <v>0</v>
      </c>
      <c r="H110" s="78" t="s">
        <v>28</v>
      </c>
      <c r="I110" s="78">
        <f>IF($B$6="ламель 150",VLOOKUP(H$14,Данные!$A$129:$V$150,20,FALSE),0)</f>
        <v>0</v>
      </c>
      <c r="J110" s="186">
        <f>IF(C110=0,0,VLOOKUP($A$19,'Цены Жалюзи'!$B$188:$N$212,10,FALSE)*C110)</f>
        <v>0</v>
      </c>
      <c r="K110" s="76">
        <f>IF(E110=0,0,VLOOKUP($A$19,'Цены Жалюзи'!$B$188:$N$212,10,FALSE)*E110)</f>
        <v>0</v>
      </c>
      <c r="L110" s="76">
        <f>IF(G110=0,0,VLOOKUP($A$19,'Цены Жалюзи'!$B$188:$N$212,10,FALSE)*G110)</f>
        <v>0</v>
      </c>
      <c r="M110" s="76">
        <f>IF(I110=0,0,VLOOKUP($A$19,'Цены Жалюзи'!$B$188:$N$212,10,FALSE)*I110)</f>
        <v>0</v>
      </c>
      <c r="O110" s="13"/>
    </row>
    <row r="111" spans="1:15" ht="16.5" customHeight="1">
      <c r="A111" s="67" t="s">
        <v>172</v>
      </c>
      <c r="B111" s="78" t="s">
        <v>28</v>
      </c>
      <c r="C111" s="88">
        <f>IF($B$6="ламель 150",VLOOKUP(B$14,Данные!$A$129:$V$150,21,FALSE),0)</f>
        <v>0</v>
      </c>
      <c r="D111" s="78" t="s">
        <v>28</v>
      </c>
      <c r="E111" s="88">
        <f>IF($B$6="ламель 150",VLOOKUP(D$14,Данные!$A$129:$V$150,21,FALSE),0)</f>
        <v>0</v>
      </c>
      <c r="F111" s="78" t="s">
        <v>28</v>
      </c>
      <c r="G111" s="88">
        <f>IF($B$6="ламель 150",VLOOKUP(F$14,Данные!$A$129:$V$150,21,FALSE),0)</f>
        <v>0</v>
      </c>
      <c r="H111" s="78" t="s">
        <v>28</v>
      </c>
      <c r="I111" s="78">
        <f>IF($B$6="ламель 150",VLOOKUP(H$14,Данные!$A$129:$V$150,21,FALSE),0)</f>
        <v>0</v>
      </c>
      <c r="J111" s="186">
        <f>IF(C111=0,0,VLOOKUP($A$19,'Цены Жалюзи'!$B$188:$N$212,11,FALSE)*C111)</f>
        <v>0</v>
      </c>
      <c r="K111" s="76">
        <f>IF(E111=0,0,VLOOKUP($A$19,'Цены Жалюзи'!$B$188:$N$212,11,FALSE)*E111)</f>
        <v>0</v>
      </c>
      <c r="L111" s="76">
        <f>IF(G111=0,0,VLOOKUP($A$19,'Цены Жалюзи'!$B$188:$N$212,11,FALSE)*G111)</f>
        <v>0</v>
      </c>
      <c r="M111" s="76">
        <f>IF(I111=0,0,VLOOKUP($A$19,'Цены Жалюзи'!$B$188:$N$212,11,FALSE)*I111)</f>
        <v>0</v>
      </c>
      <c r="O111" s="13"/>
    </row>
    <row r="112" spans="1:15" ht="16.5" customHeight="1">
      <c r="A112" s="67" t="s">
        <v>173</v>
      </c>
      <c r="B112" s="78" t="s">
        <v>28</v>
      </c>
      <c r="C112" s="88">
        <f>IF($B$6="ламель 150",VLOOKUP(B$14,Данные!$A$129:$V$150,22,FALSE),0)</f>
        <v>0</v>
      </c>
      <c r="D112" s="78" t="s">
        <v>28</v>
      </c>
      <c r="E112" s="88">
        <f>IF($B$6="ламель 150",VLOOKUP(D$14,Данные!$A$129:$V$150,22,FALSE),0)</f>
        <v>0</v>
      </c>
      <c r="F112" s="78" t="s">
        <v>28</v>
      </c>
      <c r="G112" s="88">
        <f>IF($B$6="ламель 150",VLOOKUP(F$14,Данные!$A$129:$V$150,22,FALSE),0)</f>
        <v>0</v>
      </c>
      <c r="H112" s="78" t="s">
        <v>28</v>
      </c>
      <c r="I112" s="78">
        <f>IF($B$6="ламель 150",VLOOKUP(H$14,Данные!$A$129:$V$150,22,FALSE),0)</f>
        <v>0</v>
      </c>
      <c r="J112" s="186">
        <f>IF(C112=0,0,VLOOKUP($A$19,'Цены Жалюзи'!$B$188:$N$212,12,FALSE)*C112)</f>
        <v>0</v>
      </c>
      <c r="K112" s="76">
        <f>IF(E112=0,0,VLOOKUP($A$19,'Цены Жалюзи'!$B$188:$N$212,12,FALSE)*E112)</f>
        <v>0</v>
      </c>
      <c r="L112" s="76">
        <f>IF(G112=0,0,VLOOKUP($A$19,'Цены Жалюзи'!$B$188:$N$212,12,FALSE)*G112)</f>
        <v>0</v>
      </c>
      <c r="M112" s="76">
        <f>IF(I112=0,0,VLOOKUP($A$19,'Цены Жалюзи'!$B$188:$N$212,12,FALSE)*I112)</f>
        <v>0</v>
      </c>
      <c r="O112" s="13"/>
    </row>
    <row r="113" spans="1:34" ht="16.5" customHeight="1">
      <c r="A113" s="67" t="s">
        <v>277</v>
      </c>
      <c r="B113" s="82" t="str">
        <f>IF(C113=0,"-","4,0х10")</f>
        <v>-</v>
      </c>
      <c r="C113" s="88">
        <f>IF($B$6="ламель 125",VLOOKUP(B$14,Данные!$A$129:$V$150,14,FALSE),VLOOKUP(B$14,Данные!$A$129:$V$150,15,FALSE))</f>
        <v>0</v>
      </c>
      <c r="D113" s="82" t="str">
        <f>IF(E113=0,"-","4,0х10")</f>
        <v>-</v>
      </c>
      <c r="E113" s="88">
        <f>IF($B$6="ламель 125",VLOOKUP(D$14,Данные!$A$129:$V$150,14,FALSE),VLOOKUP(D$14,Данные!$A$129:$V$150,15,FALSE))</f>
        <v>0</v>
      </c>
      <c r="F113" s="82" t="str">
        <f>IF(G113=0,"-","4,0х10")</f>
        <v>-</v>
      </c>
      <c r="G113" s="88">
        <f>IF($B$6="ламель 125",VLOOKUP(F$14,Данные!$A$129:$V$150,14,FALSE),VLOOKUP(F$14,Данные!$A$129:$V$150,15,FALSE))</f>
        <v>0</v>
      </c>
      <c r="H113" s="82" t="str">
        <f>IF(I113=0,"-","4,0х10")</f>
        <v>-</v>
      </c>
      <c r="I113" s="78">
        <f>IF($B$6="ламель 125",VLOOKUP(H$14,Данные!$A$129:$V$150,14,FALSE),VLOOKUP(H$14,Данные!$A$129:$V$150,15,FALSE))</f>
        <v>0</v>
      </c>
      <c r="J113" s="76">
        <f>IF(C113=0,0,C113*'Цены Жалюзи'!$C$228)</f>
        <v>0</v>
      </c>
      <c r="K113" s="76">
        <f>IF(E113=0,0,E113*'Цены Жалюзи'!$C$228)</f>
        <v>0</v>
      </c>
      <c r="L113" s="76">
        <f>IF(G113=0,0,G113*'Цены Жалюзи'!$C$228)</f>
        <v>0</v>
      </c>
      <c r="M113" s="76">
        <f>IF(I113=0,0,I113*'Цены Жалюзи'!$C$228)</f>
        <v>0</v>
      </c>
      <c r="O113" s="13"/>
      <c r="V113" s="14"/>
      <c r="W113" s="6"/>
      <c r="X113" s="6"/>
      <c r="Y113" s="6"/>
      <c r="Z113" s="6"/>
      <c r="AA113" s="6"/>
      <c r="AB113" s="6"/>
      <c r="AC113" s="6"/>
      <c r="AD113" s="16"/>
      <c r="AE113" s="13"/>
      <c r="AF113" s="17"/>
      <c r="AG113" s="17"/>
      <c r="AH113" s="17"/>
    </row>
    <row r="114" spans="1:34" ht="16.5" customHeight="1">
      <c r="A114" s="53" t="s">
        <v>129</v>
      </c>
      <c r="B114" s="82" t="str">
        <f>IF(C114=0,"-","4,2x16")</f>
        <v>-</v>
      </c>
      <c r="C114" s="88">
        <f>VLOOKUP(B$14,Данные!$A$129:$V$150,16,FALSE)</f>
        <v>0</v>
      </c>
      <c r="D114" s="82" t="str">
        <f>IF(E114=0,"-","4,2x16")</f>
        <v>-</v>
      </c>
      <c r="E114" s="88">
        <f>VLOOKUP(D$14,Данные!$A$129:$V$150,16,FALSE)</f>
        <v>0</v>
      </c>
      <c r="F114" s="82" t="str">
        <f>IF(G114=0,"-","4,2x16")</f>
        <v>-</v>
      </c>
      <c r="G114" s="88">
        <f>VLOOKUP(F$14,Данные!$A$129:$V$150,16,FALSE)</f>
        <v>0</v>
      </c>
      <c r="H114" s="82" t="str">
        <f>IF(I114=0,"-","4,2x16")</f>
        <v>-</v>
      </c>
      <c r="I114" s="78">
        <f>VLOOKUP(H$14,Данные!$A$129:$V$150,16,FALSE)</f>
        <v>0</v>
      </c>
      <c r="J114" s="76">
        <f>IF(C114=0,0,IF(OR($A$19="Цинк 0,5",$A$19="Цинк 0,55"),C114*'Цены Жалюзи'!$C$224,C114*'Цены Жалюзи'!$C$225))</f>
        <v>0</v>
      </c>
      <c r="K114" s="76">
        <f>IF(E114=0,0,IF(OR($A$19="Цинк 0,5",$A$19="Цинк 0,55"),E114*'Цены Жалюзи'!$C$224,E114*'Цены Жалюзи'!$C$225))</f>
        <v>0</v>
      </c>
      <c r="L114" s="76">
        <f>IF(G114=0,0,IF(OR($A$19="Цинк 0,5",$A$19="Цинк 0,55"),G114*'Цены Жалюзи'!$C$224,G114*'Цены Жалюзи'!$C$225))</f>
        <v>0</v>
      </c>
      <c r="M114" s="76">
        <f>IF(I114=0,0,IF(OR($A$19="Цинк 0,5",$A$19="Цинк 0,55"),I114*'Цены Жалюзи'!$C$224,I114*'Цены Жалюзи'!$C$225))</f>
        <v>0</v>
      </c>
      <c r="O114" s="13"/>
      <c r="V114" s="14"/>
      <c r="W114" s="6"/>
      <c r="X114" s="6"/>
      <c r="Y114" s="6"/>
      <c r="Z114" s="6"/>
      <c r="AA114" s="6"/>
      <c r="AB114" s="6"/>
      <c r="AC114" s="6"/>
      <c r="AD114" s="16"/>
      <c r="AE114" s="13"/>
      <c r="AF114" s="17"/>
      <c r="AG114" s="17"/>
      <c r="AH114" s="17"/>
    </row>
    <row r="115" spans="1:15" ht="12.75" customHeight="1">
      <c r="A115" s="101" t="s">
        <v>274</v>
      </c>
      <c r="B115" s="106"/>
      <c r="C115" s="107"/>
      <c r="D115" s="110"/>
      <c r="E115" s="107"/>
      <c r="F115" s="110"/>
      <c r="G115" s="107"/>
      <c r="H115" s="110"/>
      <c r="I115" s="106"/>
      <c r="J115" s="77">
        <f>SUM(J27:J114)</f>
        <v>14265.67</v>
      </c>
      <c r="K115" s="77">
        <f>SUM(K27:K114)</f>
        <v>14265.67</v>
      </c>
      <c r="L115" s="77">
        <f>SUM(L27:L114)</f>
        <v>14265.67</v>
      </c>
      <c r="M115" s="77">
        <f>SUM(M27:M114)</f>
        <v>14265.67</v>
      </c>
      <c r="N115" s="60"/>
      <c r="O115" s="13"/>
    </row>
    <row r="116" spans="1:15" ht="12.75" customHeight="1">
      <c r="A116" s="117" t="s">
        <v>129</v>
      </c>
      <c r="B116" s="118" t="s">
        <v>37</v>
      </c>
      <c r="C116" s="119">
        <f>C41+C94+C114</f>
        <v>10</v>
      </c>
      <c r="D116" s="118" t="s">
        <v>37</v>
      </c>
      <c r="E116" s="119">
        <f>E41+E94+E114</f>
        <v>10</v>
      </c>
      <c r="F116" s="118" t="s">
        <v>37</v>
      </c>
      <c r="G116" s="119">
        <f>G41+G94+G114</f>
        <v>10</v>
      </c>
      <c r="H116" s="118" t="s">
        <v>37</v>
      </c>
      <c r="I116" s="120">
        <f>I41+I94+I114</f>
        <v>10</v>
      </c>
      <c r="J116" s="77"/>
      <c r="K116" s="77"/>
      <c r="L116" s="77"/>
      <c r="M116" s="77"/>
      <c r="N116" s="60"/>
      <c r="O116" s="13"/>
    </row>
    <row r="117" spans="1:15" ht="12.75" customHeight="1">
      <c r="A117" s="121" t="s">
        <v>36</v>
      </c>
      <c r="B117" s="118" t="s">
        <v>37</v>
      </c>
      <c r="C117" s="119">
        <f>C42</f>
        <v>13</v>
      </c>
      <c r="D117" s="118" t="s">
        <v>37</v>
      </c>
      <c r="E117" s="119">
        <f>E42</f>
        <v>13</v>
      </c>
      <c r="F117" s="118" t="s">
        <v>37</v>
      </c>
      <c r="G117" s="119">
        <f>G42</f>
        <v>13</v>
      </c>
      <c r="H117" s="118" t="s">
        <v>37</v>
      </c>
      <c r="I117" s="120">
        <f>I42</f>
        <v>13</v>
      </c>
      <c r="J117" s="77"/>
      <c r="K117" s="77"/>
      <c r="L117" s="77"/>
      <c r="M117" s="77"/>
      <c r="N117" s="60"/>
      <c r="O117" s="13"/>
    </row>
    <row r="118" spans="1:15" ht="12.75" customHeight="1">
      <c r="A118" s="121" t="s">
        <v>277</v>
      </c>
      <c r="B118" s="118" t="s">
        <v>174</v>
      </c>
      <c r="C118" s="122">
        <f>C113</f>
        <v>0</v>
      </c>
      <c r="D118" s="118" t="s">
        <v>174</v>
      </c>
      <c r="E118" s="122">
        <f>E113</f>
        <v>0</v>
      </c>
      <c r="F118" s="118" t="s">
        <v>174</v>
      </c>
      <c r="G118" s="122">
        <f>G113</f>
        <v>0</v>
      </c>
      <c r="H118" s="118" t="s">
        <v>174</v>
      </c>
      <c r="I118" s="120">
        <f>I113</f>
        <v>0</v>
      </c>
      <c r="J118" s="77"/>
      <c r="K118" s="77"/>
      <c r="L118" s="77"/>
      <c r="M118" s="77"/>
      <c r="N118" s="60"/>
      <c r="O118" s="13"/>
    </row>
    <row r="119" spans="1:15" s="154" customFormat="1" ht="12.75" customHeight="1">
      <c r="A119" s="121" t="s">
        <v>306</v>
      </c>
      <c r="B119" s="118" t="s">
        <v>307</v>
      </c>
      <c r="C119" s="119">
        <f>C43</f>
        <v>0</v>
      </c>
      <c r="D119" s="118" t="s">
        <v>307</v>
      </c>
      <c r="E119" s="119">
        <f>E43</f>
        <v>0</v>
      </c>
      <c r="F119" s="118" t="s">
        <v>307</v>
      </c>
      <c r="G119" s="119">
        <f>G43</f>
        <v>0</v>
      </c>
      <c r="H119" s="118" t="s">
        <v>307</v>
      </c>
      <c r="I119" s="120">
        <f>I43</f>
        <v>0</v>
      </c>
      <c r="J119" s="152"/>
      <c r="K119" s="152"/>
      <c r="L119" s="152"/>
      <c r="M119" s="152"/>
      <c r="N119" s="153"/>
      <c r="O119" s="145"/>
    </row>
    <row r="120" spans="1:15" s="154" customFormat="1" ht="12.75" customHeight="1">
      <c r="A120" s="121" t="s">
        <v>112</v>
      </c>
      <c r="B120" s="118"/>
      <c r="C120" s="119">
        <f>C44</f>
        <v>0</v>
      </c>
      <c r="D120" s="118"/>
      <c r="E120" s="119">
        <f>E44</f>
        <v>0</v>
      </c>
      <c r="F120" s="118"/>
      <c r="G120" s="119">
        <f>G44</f>
        <v>0</v>
      </c>
      <c r="H120" s="118"/>
      <c r="I120" s="120">
        <f>I44</f>
        <v>0</v>
      </c>
      <c r="J120" s="152"/>
      <c r="K120" s="152"/>
      <c r="L120" s="152"/>
      <c r="M120" s="152"/>
      <c r="N120" s="153"/>
      <c r="O120" s="145"/>
    </row>
    <row r="121" spans="1:15" ht="12.75" customHeight="1">
      <c r="A121" s="14"/>
      <c r="B121" s="59"/>
      <c r="C121" s="13"/>
      <c r="D121" s="13"/>
      <c r="E121" s="13"/>
      <c r="F121" s="13"/>
      <c r="G121" s="13"/>
      <c r="H121" s="13"/>
      <c r="I121" s="13"/>
      <c r="J121" s="77"/>
      <c r="K121" s="77"/>
      <c r="L121" s="77"/>
      <c r="M121" s="77"/>
      <c r="N121" s="60"/>
      <c r="O121" s="13"/>
    </row>
    <row r="122" spans="1:15" ht="12.75" customHeight="1">
      <c r="A122" s="60"/>
      <c r="B122" s="59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60"/>
      <c r="O122" s="13"/>
    </row>
    <row r="123" spans="1:15" ht="19.5" customHeight="1">
      <c r="A123" s="224" t="s">
        <v>241</v>
      </c>
      <c r="B123" s="224"/>
      <c r="C123" s="224"/>
      <c r="D123" s="224"/>
      <c r="E123" s="224"/>
      <c r="F123" s="224"/>
      <c r="G123" s="224"/>
      <c r="H123" s="224"/>
      <c r="I123" s="224"/>
      <c r="J123" s="13"/>
      <c r="K123" s="13"/>
      <c r="L123" s="13"/>
      <c r="M123" s="13"/>
      <c r="N123" s="60"/>
      <c r="O123" s="13"/>
    </row>
    <row r="124" spans="1:15" ht="18" customHeight="1">
      <c r="A124" s="216" t="s">
        <v>158</v>
      </c>
      <c r="B124" s="216"/>
      <c r="C124" s="216"/>
      <c r="D124" s="216"/>
      <c r="E124" s="216"/>
      <c r="F124" s="216"/>
      <c r="G124" s="216"/>
      <c r="H124" s="216"/>
      <c r="I124" s="216"/>
      <c r="J124" s="13"/>
      <c r="K124" s="13"/>
      <c r="L124" s="13"/>
      <c r="M124" s="13"/>
      <c r="N124" s="60"/>
      <c r="O124" s="13"/>
    </row>
    <row r="125" spans="1:14" ht="16.5" customHeight="1">
      <c r="A125" s="216" t="s">
        <v>242</v>
      </c>
      <c r="B125" s="216"/>
      <c r="C125" s="216"/>
      <c r="D125" s="216"/>
      <c r="E125" s="216"/>
      <c r="F125" s="216"/>
      <c r="G125" s="216"/>
      <c r="H125" s="216"/>
      <c r="I125" s="216"/>
      <c r="J125" s="14"/>
      <c r="K125" s="14"/>
      <c r="L125" s="14"/>
      <c r="M125" s="14"/>
      <c r="N125" s="14"/>
    </row>
    <row r="126" spans="1:14" ht="12.75" customHeight="1">
      <c r="A126" s="216" t="s">
        <v>246</v>
      </c>
      <c r="B126" s="216"/>
      <c r="C126" s="216"/>
      <c r="D126" s="216"/>
      <c r="E126" s="216"/>
      <c r="F126" s="216"/>
      <c r="G126" s="216"/>
      <c r="H126" s="216"/>
      <c r="I126" s="216"/>
      <c r="J126" s="14"/>
      <c r="K126" s="14"/>
      <c r="L126" s="14"/>
      <c r="M126" s="14"/>
      <c r="N126" s="14"/>
    </row>
    <row r="127" spans="1:14" ht="12.75" customHeight="1">
      <c r="A127" s="202" t="s">
        <v>275</v>
      </c>
      <c r="B127" s="202"/>
      <c r="C127" s="202"/>
      <c r="D127" s="202"/>
      <c r="E127" s="202"/>
      <c r="F127" s="202"/>
      <c r="G127" s="202"/>
      <c r="H127" s="202"/>
      <c r="I127" s="202"/>
      <c r="J127" s="14"/>
      <c r="K127" s="14"/>
      <c r="L127" s="14"/>
      <c r="M127" s="14"/>
      <c r="N127" s="14"/>
    </row>
    <row r="128" spans="1:15" ht="12.75" customHeight="1">
      <c r="A128" s="202"/>
      <c r="B128" s="202"/>
      <c r="C128" s="202"/>
      <c r="D128" s="202"/>
      <c r="E128" s="202"/>
      <c r="F128" s="202"/>
      <c r="G128" s="202"/>
      <c r="H128" s="202"/>
      <c r="I128" s="202"/>
      <c r="O128" s="33"/>
    </row>
    <row r="129" spans="1:9" ht="12.75" customHeight="1">
      <c r="A129" s="202"/>
      <c r="B129" s="202"/>
      <c r="C129" s="202"/>
      <c r="D129" s="202"/>
      <c r="E129" s="202"/>
      <c r="F129" s="202"/>
      <c r="G129" s="202"/>
      <c r="H129" s="202"/>
      <c r="I129" s="202"/>
    </row>
    <row r="130" spans="1:9" ht="12.75">
      <c r="A130" s="202"/>
      <c r="B130" s="202"/>
      <c r="C130" s="202"/>
      <c r="D130" s="202"/>
      <c r="E130" s="202"/>
      <c r="F130" s="202"/>
      <c r="G130" s="202"/>
      <c r="H130" s="202"/>
      <c r="I130" s="202"/>
    </row>
    <row r="131" spans="1:9" ht="12.75">
      <c r="A131" s="202"/>
      <c r="B131" s="202"/>
      <c r="C131" s="202"/>
      <c r="D131" s="202"/>
      <c r="E131" s="202"/>
      <c r="F131" s="202"/>
      <c r="G131" s="202"/>
      <c r="H131" s="202"/>
      <c r="I131" s="202"/>
    </row>
    <row r="132" spans="1:9" ht="12.75">
      <c r="A132" s="232" t="s">
        <v>100</v>
      </c>
      <c r="B132" s="232"/>
      <c r="C132" s="232"/>
      <c r="D132" s="232"/>
      <c r="E132" s="232"/>
      <c r="F132" s="232"/>
      <c r="G132" s="232"/>
      <c r="H132" s="232"/>
      <c r="I132" s="232"/>
    </row>
    <row r="133" spans="1:9" ht="12.75" customHeight="1">
      <c r="A133" s="232"/>
      <c r="B133" s="232"/>
      <c r="C133" s="232"/>
      <c r="D133" s="232"/>
      <c r="E133" s="232"/>
      <c r="F133" s="232"/>
      <c r="G133" s="232"/>
      <c r="H133" s="232"/>
      <c r="I133" s="232"/>
    </row>
    <row r="134" spans="1:9" ht="12.75" customHeight="1">
      <c r="A134" s="232" t="s">
        <v>276</v>
      </c>
      <c r="B134" s="232"/>
      <c r="C134" s="232"/>
      <c r="D134" s="232"/>
      <c r="E134" s="232"/>
      <c r="F134" s="232"/>
      <c r="G134" s="232"/>
      <c r="H134" s="232"/>
      <c r="I134" s="232"/>
    </row>
    <row r="135" spans="1:9" ht="12.75" customHeight="1">
      <c r="A135" s="232"/>
      <c r="B135" s="232"/>
      <c r="C135" s="232"/>
      <c r="D135" s="232"/>
      <c r="E135" s="232"/>
      <c r="F135" s="232"/>
      <c r="G135" s="232"/>
      <c r="H135" s="232"/>
      <c r="I135" s="232"/>
    </row>
    <row r="136" spans="1:9" ht="12.75" customHeight="1">
      <c r="A136" s="232"/>
      <c r="B136" s="232"/>
      <c r="C136" s="232"/>
      <c r="D136" s="232"/>
      <c r="E136" s="232"/>
      <c r="F136" s="232"/>
      <c r="G136" s="232"/>
      <c r="H136" s="232"/>
      <c r="I136" s="232"/>
    </row>
    <row r="137" spans="1:9" ht="12.75" customHeight="1">
      <c r="A137" s="202" t="s">
        <v>245</v>
      </c>
      <c r="B137" s="202"/>
      <c r="C137" s="202"/>
      <c r="D137" s="202"/>
      <c r="E137" s="202"/>
      <c r="F137" s="202"/>
      <c r="G137" s="202"/>
      <c r="H137" s="202"/>
      <c r="I137" s="202"/>
    </row>
    <row r="138" spans="1:9" ht="12.75" customHeight="1">
      <c r="A138" s="202"/>
      <c r="B138" s="202"/>
      <c r="C138" s="202"/>
      <c r="D138" s="202"/>
      <c r="E138" s="202"/>
      <c r="F138" s="202"/>
      <c r="G138" s="202"/>
      <c r="H138" s="202"/>
      <c r="I138" s="202"/>
    </row>
    <row r="139" spans="1:9" ht="12.75" customHeight="1">
      <c r="A139" s="210" t="s">
        <v>248</v>
      </c>
      <c r="B139" s="211"/>
      <c r="C139" s="211"/>
      <c r="D139" s="211"/>
      <c r="E139" s="211"/>
      <c r="F139" s="211"/>
      <c r="G139" s="211"/>
      <c r="H139" s="211"/>
      <c r="I139" s="212"/>
    </row>
    <row r="140" spans="1:9" ht="12.75" customHeight="1">
      <c r="A140" s="204" t="s">
        <v>244</v>
      </c>
      <c r="B140" s="205"/>
      <c r="C140" s="205"/>
      <c r="D140" s="205"/>
      <c r="E140" s="205"/>
      <c r="F140" s="205"/>
      <c r="G140" s="205"/>
      <c r="H140" s="205"/>
      <c r="I140" s="206"/>
    </row>
    <row r="141" spans="1:9" ht="12.75" customHeight="1">
      <c r="A141" s="207"/>
      <c r="B141" s="208"/>
      <c r="C141" s="208"/>
      <c r="D141" s="208"/>
      <c r="E141" s="208"/>
      <c r="F141" s="208"/>
      <c r="G141" s="208"/>
      <c r="H141" s="208"/>
      <c r="I141" s="209"/>
    </row>
    <row r="142" spans="1:9" ht="12.75" customHeight="1">
      <c r="A142" s="200" t="s">
        <v>113</v>
      </c>
      <c r="B142" s="200"/>
      <c r="C142" s="200"/>
      <c r="D142" s="200"/>
      <c r="E142" s="200"/>
      <c r="F142" s="200"/>
      <c r="G142" s="200"/>
      <c r="H142" s="200"/>
      <c r="I142" s="200"/>
    </row>
    <row r="143" spans="1:9" ht="12.75" customHeight="1">
      <c r="A143" s="200"/>
      <c r="B143" s="200"/>
      <c r="C143" s="200"/>
      <c r="D143" s="200"/>
      <c r="E143" s="200"/>
      <c r="F143" s="200"/>
      <c r="G143" s="200"/>
      <c r="H143" s="200"/>
      <c r="I143" s="200"/>
    </row>
    <row r="144" spans="1:9" ht="12.75">
      <c r="A144" s="200"/>
      <c r="B144" s="200"/>
      <c r="C144" s="200"/>
      <c r="D144" s="200"/>
      <c r="E144" s="200"/>
      <c r="F144" s="200"/>
      <c r="G144" s="200"/>
      <c r="H144" s="200"/>
      <c r="I144" s="200"/>
    </row>
    <row r="145" spans="1:9" ht="12.75">
      <c r="A145" s="200"/>
      <c r="B145" s="200"/>
      <c r="C145" s="200"/>
      <c r="D145" s="200"/>
      <c r="E145" s="200"/>
      <c r="F145" s="200"/>
      <c r="G145" s="200"/>
      <c r="H145" s="200"/>
      <c r="I145" s="200"/>
    </row>
    <row r="146" spans="1:9" ht="12.75">
      <c r="A146" s="200"/>
      <c r="B146" s="200"/>
      <c r="C146" s="200"/>
      <c r="D146" s="200"/>
      <c r="E146" s="200"/>
      <c r="F146" s="200"/>
      <c r="G146" s="200"/>
      <c r="H146" s="200"/>
      <c r="I146" s="200"/>
    </row>
    <row r="147" spans="1:9" ht="12.75">
      <c r="A147" s="200"/>
      <c r="B147" s="200"/>
      <c r="C147" s="200"/>
      <c r="D147" s="200"/>
      <c r="E147" s="200"/>
      <c r="F147" s="200"/>
      <c r="G147" s="200"/>
      <c r="H147" s="200"/>
      <c r="I147" s="200"/>
    </row>
    <row r="148" spans="1:9" ht="12.75">
      <c r="A148" s="200"/>
      <c r="B148" s="200"/>
      <c r="C148" s="200"/>
      <c r="D148" s="200"/>
      <c r="E148" s="200"/>
      <c r="F148" s="200"/>
      <c r="G148" s="200"/>
      <c r="H148" s="200"/>
      <c r="I148" s="200"/>
    </row>
    <row r="149" spans="1:9" ht="12.75">
      <c r="A149" s="200"/>
      <c r="B149" s="200"/>
      <c r="C149" s="200"/>
      <c r="D149" s="200"/>
      <c r="E149" s="200"/>
      <c r="F149" s="200"/>
      <c r="G149" s="200"/>
      <c r="H149" s="200"/>
      <c r="I149" s="200"/>
    </row>
    <row r="150" spans="1:9" ht="12.75">
      <c r="A150" s="200"/>
      <c r="B150" s="200"/>
      <c r="C150" s="200"/>
      <c r="D150" s="200"/>
      <c r="E150" s="200"/>
      <c r="F150" s="200"/>
      <c r="G150" s="200"/>
      <c r="H150" s="200"/>
      <c r="I150" s="200"/>
    </row>
    <row r="151" spans="1:9" ht="12.75">
      <c r="A151" s="200"/>
      <c r="B151" s="200"/>
      <c r="C151" s="200"/>
      <c r="D151" s="200"/>
      <c r="E151" s="200"/>
      <c r="F151" s="200"/>
      <c r="G151" s="200"/>
      <c r="H151" s="200"/>
      <c r="I151" s="200"/>
    </row>
    <row r="152" spans="1:9" ht="12.75">
      <c r="A152" s="200"/>
      <c r="B152" s="200"/>
      <c r="C152" s="200"/>
      <c r="D152" s="200"/>
      <c r="E152" s="200"/>
      <c r="F152" s="200"/>
      <c r="G152" s="200"/>
      <c r="H152" s="200"/>
      <c r="I152" s="200"/>
    </row>
    <row r="153" spans="1:9" ht="12.75">
      <c r="A153" s="200"/>
      <c r="B153" s="200"/>
      <c r="C153" s="200"/>
      <c r="D153" s="200"/>
      <c r="E153" s="200"/>
      <c r="F153" s="200"/>
      <c r="G153" s="200"/>
      <c r="H153" s="200"/>
      <c r="I153" s="200"/>
    </row>
    <row r="154" spans="1:9" ht="12.75">
      <c r="A154" s="200"/>
      <c r="B154" s="200"/>
      <c r="C154" s="200"/>
      <c r="D154" s="200"/>
      <c r="E154" s="200"/>
      <c r="F154" s="200"/>
      <c r="G154" s="200"/>
      <c r="H154" s="200"/>
      <c r="I154" s="200"/>
    </row>
    <row r="155" spans="1:9" ht="12.75">
      <c r="A155" s="200"/>
      <c r="B155" s="200"/>
      <c r="C155" s="200"/>
      <c r="D155" s="200"/>
      <c r="E155" s="200"/>
      <c r="F155" s="200"/>
      <c r="G155" s="200"/>
      <c r="H155" s="200"/>
      <c r="I155" s="200"/>
    </row>
    <row r="156" spans="1:9" ht="12.75">
      <c r="A156" s="200"/>
      <c r="B156" s="200"/>
      <c r="C156" s="200"/>
      <c r="D156" s="200"/>
      <c r="E156" s="200"/>
      <c r="F156" s="200"/>
      <c r="G156" s="200"/>
      <c r="H156" s="200"/>
      <c r="I156" s="200"/>
    </row>
    <row r="157" spans="1:9" ht="12.75">
      <c r="A157" s="200"/>
      <c r="B157" s="200"/>
      <c r="C157" s="200"/>
      <c r="D157" s="200"/>
      <c r="E157" s="200"/>
      <c r="F157" s="200"/>
      <c r="G157" s="200"/>
      <c r="H157" s="200"/>
      <c r="I157" s="200"/>
    </row>
    <row r="158" spans="1:15" s="3" customFormat="1" ht="12.75">
      <c r="A158" s="200"/>
      <c r="B158" s="200"/>
      <c r="C158" s="200"/>
      <c r="D158" s="200"/>
      <c r="E158" s="200"/>
      <c r="F158" s="200"/>
      <c r="G158" s="200"/>
      <c r="H158" s="200"/>
      <c r="I158" s="200"/>
      <c r="J158" s="39"/>
      <c r="K158" s="39"/>
      <c r="L158" s="39"/>
      <c r="M158" s="39"/>
      <c r="N158" s="39"/>
      <c r="O158" s="39"/>
    </row>
    <row r="159" spans="1:15" s="3" customFormat="1" ht="12.75">
      <c r="A159" s="200"/>
      <c r="B159" s="200"/>
      <c r="C159" s="200"/>
      <c r="D159" s="200"/>
      <c r="E159" s="200"/>
      <c r="F159" s="200"/>
      <c r="G159" s="200"/>
      <c r="H159" s="200"/>
      <c r="I159" s="200"/>
      <c r="J159" s="39"/>
      <c r="K159" s="39"/>
      <c r="L159" s="39"/>
      <c r="M159" s="39"/>
      <c r="N159" s="39"/>
      <c r="O159" s="39"/>
    </row>
    <row r="160" spans="1:9" ht="12.75">
      <c r="A160" s="200"/>
      <c r="B160" s="200"/>
      <c r="C160" s="200"/>
      <c r="D160" s="200"/>
      <c r="E160" s="200"/>
      <c r="F160" s="200"/>
      <c r="G160" s="200"/>
      <c r="H160" s="200"/>
      <c r="I160" s="200"/>
    </row>
    <row r="161" spans="1:15" s="3" customFormat="1" ht="12.75">
      <c r="A161" s="200"/>
      <c r="B161" s="200"/>
      <c r="C161" s="200"/>
      <c r="D161" s="200"/>
      <c r="E161" s="200"/>
      <c r="F161" s="200"/>
      <c r="G161" s="200"/>
      <c r="H161" s="200"/>
      <c r="I161" s="200"/>
      <c r="J161" s="39"/>
      <c r="K161" s="39"/>
      <c r="L161" s="39"/>
      <c r="M161" s="39"/>
      <c r="N161" s="39"/>
      <c r="O161" s="39"/>
    </row>
    <row r="162" spans="1:15" s="3" customFormat="1" ht="12.75">
      <c r="A162" s="41"/>
      <c r="B162" s="40"/>
      <c r="C162" s="40"/>
      <c r="D162" s="39"/>
      <c r="E162" s="39"/>
      <c r="F162" s="39"/>
      <c r="G162" s="39"/>
      <c r="H162" s="42"/>
      <c r="I162" s="39"/>
      <c r="J162" s="39"/>
      <c r="K162" s="39"/>
      <c r="L162" s="39"/>
      <c r="M162" s="39"/>
      <c r="N162" s="39"/>
      <c r="O162" s="39"/>
    </row>
    <row r="163" spans="1:15" s="3" customFormat="1" ht="12.75">
      <c r="A163" s="41"/>
      <c r="B163" s="40"/>
      <c r="C163" s="40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</row>
    <row r="164" spans="1:15" s="3" customFormat="1" ht="12.75">
      <c r="A164" s="41"/>
      <c r="B164" s="40"/>
      <c r="C164" s="40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</row>
    <row r="165" spans="1:15" s="3" customFormat="1" ht="12.75">
      <c r="A165" s="41"/>
      <c r="B165" s="40"/>
      <c r="C165" s="40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</row>
    <row r="166" spans="1:15" s="3" customFormat="1" ht="12.75">
      <c r="A166" s="41"/>
      <c r="B166" s="40"/>
      <c r="C166" s="40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</row>
    <row r="167" spans="1:15" s="3" customFormat="1" ht="12.75">
      <c r="A167" s="41"/>
      <c r="B167" s="40"/>
      <c r="C167" s="40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</row>
    <row r="168" spans="1:15" s="3" customFormat="1" ht="12.75">
      <c r="A168" s="41"/>
      <c r="B168" s="40"/>
      <c r="C168" s="40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</row>
    <row r="169" spans="1:15" s="3" customFormat="1" ht="12.75">
      <c r="A169" s="41"/>
      <c r="B169" s="40"/>
      <c r="C169" s="40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</row>
    <row r="170" spans="1:15" s="3" customFormat="1" ht="12.75">
      <c r="A170" s="41"/>
      <c r="B170" s="40"/>
      <c r="C170" s="40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</row>
    <row r="171" spans="1:15" s="3" customFormat="1" ht="12.75">
      <c r="A171" s="41"/>
      <c r="B171" s="40"/>
      <c r="C171" s="40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</row>
    <row r="172" spans="1:15" s="3" customFormat="1" ht="12.75">
      <c r="A172" s="41"/>
      <c r="B172" s="40"/>
      <c r="C172" s="40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</row>
    <row r="173" spans="1:15" s="3" customFormat="1" ht="12.75">
      <c r="A173" s="41"/>
      <c r="B173" s="40"/>
      <c r="C173" s="40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</row>
    <row r="174" spans="1:15" s="3" customFormat="1" ht="12.75">
      <c r="A174" s="41"/>
      <c r="B174" s="40"/>
      <c r="C174" s="40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</row>
    <row r="175" spans="1:15" s="3" customFormat="1" ht="12.75">
      <c r="A175" s="41"/>
      <c r="B175" s="40"/>
      <c r="C175" s="40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</row>
    <row r="176" spans="1:15" s="3" customFormat="1" ht="12.75">
      <c r="A176" s="41"/>
      <c r="B176" s="40"/>
      <c r="C176" s="40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</row>
    <row r="177" spans="1:15" s="3" customFormat="1" ht="12.75">
      <c r="A177" s="41"/>
      <c r="B177" s="40"/>
      <c r="C177" s="40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</row>
    <row r="178" spans="1:15" s="3" customFormat="1" ht="12.75">
      <c r="A178" s="41"/>
      <c r="B178" s="40"/>
      <c r="C178" s="40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</row>
    <row r="179" spans="1:15" s="3" customFormat="1" ht="12.75">
      <c r="A179" s="41"/>
      <c r="B179" s="40"/>
      <c r="C179" s="40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</row>
    <row r="180" spans="1:15" s="3" customFormat="1" ht="12.75">
      <c r="A180" s="41"/>
      <c r="B180" s="40"/>
      <c r="C180" s="40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</row>
    <row r="181" spans="1:15" s="3" customFormat="1" ht="12.75">
      <c r="A181" s="41"/>
      <c r="B181" s="40"/>
      <c r="C181" s="40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</row>
    <row r="182" spans="1:15" s="3" customFormat="1" ht="12.75">
      <c r="A182" s="41"/>
      <c r="B182" s="40"/>
      <c r="C182" s="40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</row>
    <row r="183" spans="1:15" s="3" customFormat="1" ht="12.75">
      <c r="A183" s="41"/>
      <c r="B183" s="40"/>
      <c r="C183" s="40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</row>
    <row r="184" spans="1:15" s="3" customFormat="1" ht="12.75">
      <c r="A184" s="41"/>
      <c r="B184" s="40"/>
      <c r="C184" s="40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</row>
    <row r="185" spans="1:15" s="3" customFormat="1" ht="12.75">
      <c r="A185" s="41"/>
      <c r="B185" s="40"/>
      <c r="C185" s="40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</row>
    <row r="186" spans="1:15" s="3" customFormat="1" ht="12.75">
      <c r="A186" s="41"/>
      <c r="B186" s="40"/>
      <c r="C186" s="40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</row>
    <row r="187" spans="1:15" s="3" customFormat="1" ht="12.75">
      <c r="A187" s="41"/>
      <c r="B187" s="40"/>
      <c r="C187" s="40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</row>
    <row r="188" spans="1:15" s="3" customFormat="1" ht="12.75">
      <c r="A188" s="41"/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</row>
    <row r="189" spans="1:15" s="3" customFormat="1" ht="12.75">
      <c r="A189" s="41"/>
      <c r="B189" s="39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</row>
    <row r="190" spans="1:15" s="45" customFormat="1" ht="12.75">
      <c r="A190" s="43"/>
      <c r="B190" s="44"/>
      <c r="C190" s="44"/>
      <c r="D190" s="44"/>
      <c r="E190" s="44"/>
      <c r="F190" s="44"/>
      <c r="G190" s="44"/>
      <c r="H190" s="44"/>
      <c r="I190" s="44"/>
      <c r="J190" s="44"/>
      <c r="K190" s="44"/>
      <c r="L190" s="44"/>
      <c r="M190" s="42"/>
      <c r="N190" s="42"/>
      <c r="O190" s="42"/>
    </row>
    <row r="191" spans="1:15" s="3" customFormat="1" ht="12.75">
      <c r="A191" s="39"/>
      <c r="B191" s="41"/>
      <c r="C191" s="41"/>
      <c r="D191" s="41"/>
      <c r="E191" s="41"/>
      <c r="F191" s="41"/>
      <c r="G191" s="41"/>
      <c r="H191" s="40"/>
      <c r="I191" s="40"/>
      <c r="J191" s="40"/>
      <c r="K191" s="40"/>
      <c r="L191" s="41"/>
      <c r="M191" s="39"/>
      <c r="N191" s="39"/>
      <c r="O191" s="39"/>
    </row>
    <row r="192" spans="1:15" s="3" customFormat="1" ht="12.75">
      <c r="A192" s="39"/>
      <c r="B192" s="41"/>
      <c r="C192" s="41"/>
      <c r="D192" s="41"/>
      <c r="E192" s="41"/>
      <c r="F192" s="41"/>
      <c r="G192" s="41"/>
      <c r="H192" s="40"/>
      <c r="I192" s="40"/>
      <c r="J192" s="40"/>
      <c r="K192" s="40"/>
      <c r="L192" s="41"/>
      <c r="M192" s="39"/>
      <c r="N192" s="39"/>
      <c r="O192" s="39"/>
    </row>
    <row r="193" spans="1:15" s="3" customFormat="1" ht="12.75">
      <c r="A193" s="39"/>
      <c r="B193" s="41"/>
      <c r="C193" s="41"/>
      <c r="D193" s="41"/>
      <c r="E193" s="41"/>
      <c r="F193" s="41"/>
      <c r="G193" s="41"/>
      <c r="H193" s="40"/>
      <c r="I193" s="40"/>
      <c r="J193" s="40"/>
      <c r="K193" s="40"/>
      <c r="L193" s="41"/>
      <c r="M193" s="39"/>
      <c r="N193" s="39"/>
      <c r="O193" s="39"/>
    </row>
    <row r="194" spans="1:15" s="3" customFormat="1" ht="12.75">
      <c r="A194" s="44"/>
      <c r="B194" s="44"/>
      <c r="C194" s="44"/>
      <c r="D194" s="44"/>
      <c r="E194" s="44"/>
      <c r="F194" s="44"/>
      <c r="G194" s="44"/>
      <c r="H194" s="44"/>
      <c r="I194" s="44"/>
      <c r="J194" s="44"/>
      <c r="K194" s="44"/>
      <c r="L194" s="44"/>
      <c r="M194" s="39"/>
      <c r="N194" s="39"/>
      <c r="O194" s="39"/>
    </row>
    <row r="195" spans="1:15" s="3" customFormat="1" ht="12.75">
      <c r="A195" s="39"/>
      <c r="B195" s="41"/>
      <c r="C195" s="41"/>
      <c r="D195" s="41"/>
      <c r="E195" s="41"/>
      <c r="F195" s="41"/>
      <c r="G195" s="41"/>
      <c r="H195" s="40"/>
      <c r="I195" s="40"/>
      <c r="J195" s="40"/>
      <c r="K195" s="40"/>
      <c r="L195" s="41"/>
      <c r="M195" s="39"/>
      <c r="N195" s="39"/>
      <c r="O195" s="39"/>
    </row>
    <row r="196" spans="1:15" s="3" customFormat="1" ht="12.75">
      <c r="A196" s="39"/>
      <c r="B196" s="41"/>
      <c r="C196" s="41"/>
      <c r="D196" s="41"/>
      <c r="E196" s="41"/>
      <c r="F196" s="41"/>
      <c r="G196" s="41"/>
      <c r="H196" s="40"/>
      <c r="I196" s="40"/>
      <c r="J196" s="40"/>
      <c r="K196" s="40"/>
      <c r="L196" s="41"/>
      <c r="M196" s="39"/>
      <c r="N196" s="39"/>
      <c r="O196" s="39"/>
    </row>
    <row r="197" spans="1:15" s="3" customFormat="1" ht="12.75">
      <c r="A197" s="39"/>
      <c r="B197" s="41"/>
      <c r="C197" s="41"/>
      <c r="D197" s="41"/>
      <c r="E197" s="41"/>
      <c r="F197" s="41"/>
      <c r="G197" s="41"/>
      <c r="H197" s="40"/>
      <c r="I197" s="40"/>
      <c r="J197" s="40"/>
      <c r="K197" s="40"/>
      <c r="L197" s="41"/>
      <c r="M197" s="39"/>
      <c r="N197" s="39"/>
      <c r="O197" s="39"/>
    </row>
    <row r="198" spans="1:15" s="3" customFormat="1" ht="12.75">
      <c r="A198" s="39"/>
      <c r="B198" s="41"/>
      <c r="C198" s="41"/>
      <c r="D198" s="41"/>
      <c r="E198" s="41"/>
      <c r="F198" s="41"/>
      <c r="G198" s="41"/>
      <c r="H198" s="40"/>
      <c r="I198" s="40"/>
      <c r="J198" s="40"/>
      <c r="K198" s="40"/>
      <c r="L198" s="41"/>
      <c r="M198" s="39"/>
      <c r="N198" s="39"/>
      <c r="O198" s="39"/>
    </row>
    <row r="199" spans="1:15" s="3" customFormat="1" ht="12.75">
      <c r="A199" s="39"/>
      <c r="B199" s="41"/>
      <c r="C199" s="41"/>
      <c r="D199" s="41"/>
      <c r="E199" s="41"/>
      <c r="F199" s="41"/>
      <c r="G199" s="41"/>
      <c r="H199" s="40"/>
      <c r="I199" s="40"/>
      <c r="J199" s="40"/>
      <c r="K199" s="40"/>
      <c r="L199" s="41"/>
      <c r="M199" s="39"/>
      <c r="N199" s="39"/>
      <c r="O199" s="39"/>
    </row>
    <row r="200" spans="1:15" s="3" customFormat="1" ht="12.75">
      <c r="A200" s="39"/>
      <c r="B200" s="41"/>
      <c r="C200" s="41"/>
      <c r="D200" s="41"/>
      <c r="E200" s="41"/>
      <c r="F200" s="41"/>
      <c r="G200" s="41"/>
      <c r="H200" s="40"/>
      <c r="I200" s="40"/>
      <c r="J200" s="40"/>
      <c r="K200" s="40"/>
      <c r="L200" s="41"/>
      <c r="M200" s="39"/>
      <c r="N200" s="39"/>
      <c r="O200" s="39"/>
    </row>
    <row r="201" spans="1:15" s="3" customFormat="1" ht="12.75">
      <c r="A201" s="39"/>
      <c r="B201" s="41"/>
      <c r="C201" s="41"/>
      <c r="D201" s="41"/>
      <c r="E201" s="41"/>
      <c r="F201" s="41"/>
      <c r="G201" s="41"/>
      <c r="H201" s="40"/>
      <c r="I201" s="40"/>
      <c r="J201" s="40"/>
      <c r="K201" s="40"/>
      <c r="L201" s="41"/>
      <c r="M201" s="39"/>
      <c r="N201" s="39"/>
      <c r="O201" s="39"/>
    </row>
    <row r="202" spans="1:15" s="3" customFormat="1" ht="12.75">
      <c r="A202" s="39"/>
      <c r="B202" s="41"/>
      <c r="C202" s="41"/>
      <c r="D202" s="41"/>
      <c r="E202" s="41"/>
      <c r="F202" s="41"/>
      <c r="G202" s="41"/>
      <c r="H202" s="40"/>
      <c r="I202" s="40"/>
      <c r="J202" s="40"/>
      <c r="K202" s="40"/>
      <c r="L202" s="41"/>
      <c r="M202" s="39"/>
      <c r="N202" s="39"/>
      <c r="O202" s="39"/>
    </row>
    <row r="203" spans="1:15" s="3" customFormat="1" ht="12.75">
      <c r="A203" s="39"/>
      <c r="B203" s="41"/>
      <c r="C203" s="41"/>
      <c r="D203" s="41"/>
      <c r="E203" s="41"/>
      <c r="F203" s="41"/>
      <c r="G203" s="41"/>
      <c r="H203" s="40"/>
      <c r="I203" s="40"/>
      <c r="J203" s="40"/>
      <c r="K203" s="40"/>
      <c r="L203" s="41"/>
      <c r="M203" s="39"/>
      <c r="N203" s="39"/>
      <c r="O203" s="39"/>
    </row>
    <row r="204" spans="1:15" s="3" customFormat="1" ht="12.75">
      <c r="A204" s="39"/>
      <c r="B204" s="41"/>
      <c r="C204" s="41"/>
      <c r="D204" s="41"/>
      <c r="E204" s="41"/>
      <c r="F204" s="41"/>
      <c r="G204" s="41"/>
      <c r="H204" s="40"/>
      <c r="I204" s="40"/>
      <c r="J204" s="40"/>
      <c r="K204" s="40"/>
      <c r="L204" s="41"/>
      <c r="M204" s="39"/>
      <c r="N204" s="39"/>
      <c r="O204" s="39"/>
    </row>
    <row r="205" spans="1:15" s="3" customFormat="1" ht="12.75">
      <c r="A205" s="39"/>
      <c r="B205" s="41"/>
      <c r="C205" s="41"/>
      <c r="D205" s="41"/>
      <c r="E205" s="41"/>
      <c r="F205" s="41"/>
      <c r="G205" s="41"/>
      <c r="H205" s="40"/>
      <c r="I205" s="40"/>
      <c r="J205" s="40"/>
      <c r="K205" s="40"/>
      <c r="L205" s="41"/>
      <c r="M205" s="39"/>
      <c r="N205" s="39"/>
      <c r="O205" s="39"/>
    </row>
    <row r="206" spans="1:15" s="3" customFormat="1" ht="12.75">
      <c r="A206" s="39"/>
      <c r="B206" s="41"/>
      <c r="C206" s="41"/>
      <c r="D206" s="41"/>
      <c r="E206" s="41"/>
      <c r="F206" s="41"/>
      <c r="G206" s="41"/>
      <c r="H206" s="40"/>
      <c r="I206" s="40"/>
      <c r="J206" s="40"/>
      <c r="K206" s="40"/>
      <c r="L206" s="41"/>
      <c r="M206" s="39"/>
      <c r="N206" s="39"/>
      <c r="O206" s="39"/>
    </row>
    <row r="207" spans="1:15" s="3" customFormat="1" ht="12.75">
      <c r="A207" s="39"/>
      <c r="B207" s="41"/>
      <c r="C207" s="41"/>
      <c r="D207" s="41"/>
      <c r="E207" s="41"/>
      <c r="F207" s="41"/>
      <c r="G207" s="41"/>
      <c r="H207" s="40"/>
      <c r="I207" s="40"/>
      <c r="J207" s="40"/>
      <c r="K207" s="40"/>
      <c r="L207" s="41"/>
      <c r="M207" s="39"/>
      <c r="N207" s="39"/>
      <c r="O207" s="39"/>
    </row>
    <row r="208" spans="1:15" s="3" customFormat="1" ht="12.75">
      <c r="A208" s="39"/>
      <c r="B208" s="41"/>
      <c r="C208" s="41"/>
      <c r="D208" s="41"/>
      <c r="E208" s="41"/>
      <c r="F208" s="41"/>
      <c r="G208" s="41"/>
      <c r="H208" s="40"/>
      <c r="I208" s="40"/>
      <c r="J208" s="40"/>
      <c r="K208" s="40"/>
      <c r="L208" s="41"/>
      <c r="M208" s="39"/>
      <c r="N208" s="39"/>
      <c r="O208" s="39"/>
    </row>
    <row r="209" spans="1:15" s="3" customFormat="1" ht="12.75">
      <c r="A209" s="39"/>
      <c r="B209" s="41"/>
      <c r="C209" s="41"/>
      <c r="D209" s="41"/>
      <c r="E209" s="41"/>
      <c r="F209" s="41"/>
      <c r="G209" s="41"/>
      <c r="H209" s="40"/>
      <c r="I209" s="40"/>
      <c r="J209" s="40"/>
      <c r="K209" s="40"/>
      <c r="L209" s="41"/>
      <c r="M209" s="39"/>
      <c r="N209" s="39"/>
      <c r="O209" s="39"/>
    </row>
    <row r="210" spans="1:15" s="3" customFormat="1" ht="12.75">
      <c r="A210" s="39"/>
      <c r="B210" s="39"/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</row>
    <row r="211" spans="1:15" s="3" customFormat="1" ht="12.75">
      <c r="A211" s="39"/>
      <c r="B211" s="39"/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</row>
    <row r="212" spans="1:15" s="3" customFormat="1" ht="12.75">
      <c r="A212" s="39"/>
      <c r="B212" s="39"/>
      <c r="C212" s="39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</row>
    <row r="213" spans="1:15" s="3" customFormat="1" ht="12.75">
      <c r="A213" s="39"/>
      <c r="B213" s="39"/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</row>
    <row r="214" spans="1:15" s="3" customFormat="1" ht="12.75">
      <c r="A214" s="39"/>
      <c r="B214" s="39"/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</row>
    <row r="215" spans="1:15" s="3" customFormat="1" ht="12.75">
      <c r="A215" s="39"/>
      <c r="B215" s="39"/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</row>
    <row r="216" spans="1:15" s="3" customFormat="1" ht="12.75">
      <c r="A216" s="39"/>
      <c r="B216" s="39"/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</row>
    <row r="217" spans="1:15" s="3" customFormat="1" ht="12.75">
      <c r="A217" s="39"/>
      <c r="B217" s="39"/>
      <c r="C217" s="39"/>
      <c r="D217" s="39"/>
      <c r="M217" s="39"/>
      <c r="N217" s="39"/>
      <c r="O217" s="39"/>
    </row>
    <row r="218" spans="1:15" s="3" customFormat="1" ht="12.75">
      <c r="A218" s="39"/>
      <c r="B218" s="39"/>
      <c r="C218" s="39"/>
      <c r="D218" s="39"/>
      <c r="M218" s="39"/>
      <c r="N218" s="39"/>
      <c r="O218" s="39"/>
    </row>
    <row r="219" spans="1:15" s="3" customFormat="1" ht="12.75">
      <c r="A219" s="39"/>
      <c r="B219" s="39"/>
      <c r="C219" s="39"/>
      <c r="D219" s="39"/>
      <c r="M219" s="39"/>
      <c r="N219" s="39"/>
      <c r="O219" s="39"/>
    </row>
    <row r="220" spans="1:15" s="3" customFormat="1" ht="12.75">
      <c r="A220" s="39"/>
      <c r="B220" s="39"/>
      <c r="C220" s="39"/>
      <c r="D220" s="39"/>
      <c r="M220" s="39"/>
      <c r="N220" s="39"/>
      <c r="O220" s="39"/>
    </row>
    <row r="221" spans="1:15" s="3" customFormat="1" ht="12.75">
      <c r="A221" s="39"/>
      <c r="B221" s="39"/>
      <c r="C221" s="39"/>
      <c r="D221" s="39"/>
      <c r="M221" s="39"/>
      <c r="N221" s="39"/>
      <c r="O221" s="39"/>
    </row>
    <row r="222" spans="1:15" s="3" customFormat="1" ht="12.75">
      <c r="A222" s="39"/>
      <c r="B222" s="39"/>
      <c r="C222" s="39"/>
      <c r="D222" s="39"/>
      <c r="M222" s="39"/>
      <c r="N222" s="39"/>
      <c r="O222" s="39"/>
    </row>
    <row r="223" spans="1:15" s="3" customFormat="1" ht="12.75">
      <c r="A223" s="39"/>
      <c r="B223" s="39"/>
      <c r="C223" s="39"/>
      <c r="D223" s="39"/>
      <c r="M223" s="39"/>
      <c r="N223" s="39"/>
      <c r="O223" s="39"/>
    </row>
    <row r="224" spans="1:15" s="3" customFormat="1" ht="12.75">
      <c r="A224" s="39"/>
      <c r="B224" s="39"/>
      <c r="C224" s="39"/>
      <c r="D224" s="39"/>
      <c r="M224" s="39"/>
      <c r="N224" s="39"/>
      <c r="O224" s="39"/>
    </row>
    <row r="225" spans="1:15" s="3" customFormat="1" ht="12.75">
      <c r="A225" s="39"/>
      <c r="B225" s="39"/>
      <c r="C225" s="39"/>
      <c r="D225" s="39"/>
      <c r="M225" s="39"/>
      <c r="N225" s="39"/>
      <c r="O225" s="39"/>
    </row>
    <row r="226" spans="1:15" s="3" customFormat="1" ht="12.75">
      <c r="A226" s="39"/>
      <c r="B226" s="39"/>
      <c r="C226" s="39"/>
      <c r="D226" s="39"/>
      <c r="M226" s="39"/>
      <c r="N226" s="39"/>
      <c r="O226" s="39"/>
    </row>
    <row r="227" spans="1:15" s="3" customFormat="1" ht="12.75">
      <c r="A227" s="39"/>
      <c r="B227" s="39"/>
      <c r="C227" s="39"/>
      <c r="D227" s="39"/>
      <c r="M227" s="39"/>
      <c r="N227" s="39"/>
      <c r="O227" s="39"/>
    </row>
    <row r="228" spans="1:15" s="3" customFormat="1" ht="12.75">
      <c r="A228" s="39"/>
      <c r="B228" s="39"/>
      <c r="C228" s="39"/>
      <c r="D228" s="39"/>
      <c r="M228" s="39"/>
      <c r="N228" s="39"/>
      <c r="O228" s="39"/>
    </row>
    <row r="229" spans="1:15" s="3" customFormat="1" ht="12.75">
      <c r="A229" s="39"/>
      <c r="B229" s="39"/>
      <c r="C229" s="39"/>
      <c r="D229" s="39"/>
      <c r="M229" s="39"/>
      <c r="N229" s="39"/>
      <c r="O229" s="39"/>
    </row>
    <row r="230" s="3" customFormat="1" ht="12.75"/>
    <row r="231" s="3" customFormat="1" ht="12.75"/>
    <row r="232" s="3" customFormat="1" ht="12.75"/>
    <row r="233" s="3" customFormat="1" ht="12.75"/>
    <row r="234" s="3" customFormat="1" ht="12.75"/>
  </sheetData>
  <sheetProtection selectLockedCells="1" selectUnlockedCells="1"/>
  <mergeCells count="67">
    <mergeCell ref="A1:D1"/>
    <mergeCell ref="A2:I2"/>
    <mergeCell ref="A4:A5"/>
    <mergeCell ref="B4:I4"/>
    <mergeCell ref="B5:C5"/>
    <mergeCell ref="D5:E5"/>
    <mergeCell ref="F5:G5"/>
    <mergeCell ref="H5:I5"/>
    <mergeCell ref="B6:I6"/>
    <mergeCell ref="B7:C7"/>
    <mergeCell ref="D7:E7"/>
    <mergeCell ref="F7:G7"/>
    <mergeCell ref="H7:I7"/>
    <mergeCell ref="B8:C8"/>
    <mergeCell ref="D8:E8"/>
    <mergeCell ref="F8:G8"/>
    <mergeCell ref="H8:I8"/>
    <mergeCell ref="B9:C9"/>
    <mergeCell ref="D9:E9"/>
    <mergeCell ref="F9:G9"/>
    <mergeCell ref="H9:I9"/>
    <mergeCell ref="B10:C10"/>
    <mergeCell ref="D10:E10"/>
    <mergeCell ref="F10:G10"/>
    <mergeCell ref="H10:I10"/>
    <mergeCell ref="B11:C11"/>
    <mergeCell ref="D11:E11"/>
    <mergeCell ref="F11:G11"/>
    <mergeCell ref="H11:I11"/>
    <mergeCell ref="B12:C12"/>
    <mergeCell ref="D12:E12"/>
    <mergeCell ref="F12:G12"/>
    <mergeCell ref="H12:I12"/>
    <mergeCell ref="B13:C13"/>
    <mergeCell ref="D13:E13"/>
    <mergeCell ref="F13:G13"/>
    <mergeCell ref="H13:I13"/>
    <mergeCell ref="B14:C14"/>
    <mergeCell ref="D14:E14"/>
    <mergeCell ref="F14:G14"/>
    <mergeCell ref="H14:I14"/>
    <mergeCell ref="B15:C15"/>
    <mergeCell ref="D15:E15"/>
    <mergeCell ref="F15:G15"/>
    <mergeCell ref="H15:I15"/>
    <mergeCell ref="J24:M24"/>
    <mergeCell ref="A18:C18"/>
    <mergeCell ref="A19:C19"/>
    <mergeCell ref="B20:C20"/>
    <mergeCell ref="D20:I20"/>
    <mergeCell ref="B21:C21"/>
    <mergeCell ref="A132:I133"/>
    <mergeCell ref="A24:A25"/>
    <mergeCell ref="B24:C24"/>
    <mergeCell ref="D24:E24"/>
    <mergeCell ref="F24:G24"/>
    <mergeCell ref="H24:I24"/>
    <mergeCell ref="A123:I123"/>
    <mergeCell ref="A124:I124"/>
    <mergeCell ref="A125:I125"/>
    <mergeCell ref="A126:I126"/>
    <mergeCell ref="A127:I131"/>
    <mergeCell ref="A134:I136"/>
    <mergeCell ref="A137:I138"/>
    <mergeCell ref="A139:I139"/>
    <mergeCell ref="A140:I141"/>
    <mergeCell ref="A142:I161"/>
  </mergeCells>
  <dataValidations count="11">
    <dataValidation type="list" allowBlank="1" showInputMessage="1" showErrorMessage="1" sqref="H15:I15">
      <formula1>CEXUI</formula1>
    </dataValidation>
    <dataValidation type="list" allowBlank="1" showInputMessage="1" showErrorMessage="1" sqref="F15:G15">
      <formula1>IANCJ</formula1>
    </dataValidation>
    <dataValidation type="list" allowBlank="1" showInputMessage="1" showErrorMessage="1" sqref="D15:E15">
      <formula1>MUGNQ</formula1>
    </dataValidation>
    <dataValidation type="list" allowBlank="1" showInputMessage="1" showErrorMessage="1" sqref="B15:C15">
      <formula1>BTYPS</formula1>
    </dataValidation>
    <dataValidation type="list" allowBlank="1" showInputMessage="1" showErrorMessage="1" sqref="B14:I14">
      <formula1>VNVOX</formula1>
    </dataValidation>
    <dataValidation type="list" allowBlank="1" showInputMessage="1" showErrorMessage="1" sqref="B13:I13">
      <formula1>RRWVS</formula1>
    </dataValidation>
    <dataValidation type="list" allowBlank="1" showInputMessage="1" showErrorMessage="1" sqref="B6:I6">
      <formula1>CCCMT</formula1>
    </dataValidation>
    <dataValidation type="list" allowBlank="1" showInputMessage="1" showErrorMessage="1" sqref="B12 D12 F12 H12">
      <formula1>"да, нет"</formula1>
    </dataValidation>
    <dataValidation type="decimal" operator="lessThanOrEqual" allowBlank="1" showInputMessage="1" showErrorMessage="1" sqref="H8 B8 D8 F8">
      <formula1>3</formula1>
    </dataValidation>
    <dataValidation type="list" allowBlank="1" showInputMessage="1" showErrorMessage="1" sqref="A18:C18">
      <formula1>"Российская Федерация, Республика Беларусь"</formula1>
    </dataValidation>
    <dataValidation type="list" allowBlank="1" showInputMessage="1" showErrorMessage="1" sqref="A19:C19">
      <formula1>XLPKA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2" fitToWidth="1" horizontalDpi="300" verticalDpi="300" orientation="portrait" paperSize="9" scale="56" r:id="rId2"/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9CC00"/>
    <pageSetUpPr fitToPage="1"/>
  </sheetPr>
  <dimension ref="A1:AK205"/>
  <sheetViews>
    <sheetView zoomScale="75" zoomScaleNormal="75" zoomScaleSheetLayoutView="50" zoomScalePageLayoutView="55" workbookViewId="0" topLeftCell="A1">
      <pane ySplit="14" topLeftCell="A15" activePane="bottomLeft" state="frozen"/>
      <selection pane="topLeft" activeCell="A2" sqref="A2:I2"/>
      <selection pane="bottomLeft" activeCell="A2" sqref="A2:I2"/>
    </sheetView>
  </sheetViews>
  <sheetFormatPr defaultColWidth="9.140625" defaultRowHeight="15"/>
  <cols>
    <col min="1" max="1" width="55.7109375" style="2" customWidth="1"/>
    <col min="2" max="2" width="14.00390625" style="2" customWidth="1"/>
    <col min="3" max="3" width="13.140625" style="2" customWidth="1"/>
    <col min="4" max="4" width="15.57421875" style="2" customWidth="1"/>
    <col min="5" max="6" width="14.421875" style="2" customWidth="1"/>
    <col min="7" max="7" width="12.57421875" style="2" customWidth="1"/>
    <col min="8" max="8" width="13.57421875" style="2" customWidth="1"/>
    <col min="9" max="9" width="14.8515625" style="2" customWidth="1"/>
    <col min="10" max="10" width="14.140625" style="2" hidden="1" customWidth="1"/>
    <col min="11" max="11" width="14.00390625" style="2" hidden="1" customWidth="1"/>
    <col min="12" max="13" width="13.7109375" style="2" hidden="1" customWidth="1"/>
    <col min="14" max="14" width="25.28125" style="2" customWidth="1"/>
    <col min="15" max="15" width="15.421875" style="2" customWidth="1"/>
    <col min="16" max="16" width="9.00390625" style="2" customWidth="1"/>
    <col min="17" max="17" width="13.8515625" style="2" customWidth="1"/>
    <col min="18" max="18" width="10.8515625" style="2" customWidth="1"/>
    <col min="19" max="16384" width="9.140625" style="2" customWidth="1"/>
  </cols>
  <sheetData>
    <row r="1" spans="1:9" ht="12.75">
      <c r="A1" s="190"/>
      <c r="B1" s="190"/>
      <c r="C1" s="190"/>
      <c r="D1" s="190"/>
      <c r="E1" s="1"/>
      <c r="F1" s="1"/>
      <c r="H1" s="70" t="s">
        <v>230</v>
      </c>
      <c r="I1" s="4">
        <v>45130</v>
      </c>
    </row>
    <row r="2" spans="1:15" ht="27" customHeight="1" thickBot="1">
      <c r="A2" s="193" t="s">
        <v>297</v>
      </c>
      <c r="B2" s="193"/>
      <c r="C2" s="193"/>
      <c r="D2" s="193"/>
      <c r="E2" s="193"/>
      <c r="F2" s="193"/>
      <c r="G2" s="193"/>
      <c r="H2" s="193"/>
      <c r="I2" s="193"/>
      <c r="J2" s="73"/>
      <c r="K2" s="70"/>
      <c r="L2" s="70"/>
      <c r="O2" s="4"/>
    </row>
    <row r="3" spans="1:15" ht="16.5" customHeight="1">
      <c r="A3" s="5"/>
      <c r="B3" s="6"/>
      <c r="H3" s="7"/>
      <c r="I3" s="7"/>
      <c r="K3" s="8"/>
      <c r="L3" s="8"/>
      <c r="M3" s="8"/>
      <c r="N3" s="9"/>
      <c r="O3" s="9"/>
    </row>
    <row r="4" spans="1:15" ht="16.5" customHeight="1">
      <c r="A4" s="189" t="s">
        <v>298</v>
      </c>
      <c r="B4" s="195" t="s">
        <v>65</v>
      </c>
      <c r="C4" s="195"/>
      <c r="D4" s="195"/>
      <c r="E4" s="195"/>
      <c r="F4" s="195"/>
      <c r="G4" s="195"/>
      <c r="H4" s="195"/>
      <c r="I4" s="195"/>
      <c r="K4" s="8"/>
      <c r="L4" s="8"/>
      <c r="M4" s="8"/>
      <c r="N4" s="9"/>
      <c r="O4" s="9"/>
    </row>
    <row r="5" spans="1:15" ht="16.5" customHeight="1">
      <c r="A5" s="189"/>
      <c r="B5" s="196" t="s">
        <v>71</v>
      </c>
      <c r="C5" s="196"/>
      <c r="D5" s="196" t="s">
        <v>72</v>
      </c>
      <c r="E5" s="196"/>
      <c r="F5" s="196" t="s">
        <v>73</v>
      </c>
      <c r="G5" s="196"/>
      <c r="H5" s="196" t="s">
        <v>74</v>
      </c>
      <c r="I5" s="196"/>
      <c r="N5" s="9"/>
      <c r="O5" s="9"/>
    </row>
    <row r="6" spans="1:15" ht="16.5" customHeight="1">
      <c r="A6" s="96" t="s">
        <v>231</v>
      </c>
      <c r="B6" s="194">
        <v>0</v>
      </c>
      <c r="C6" s="194"/>
      <c r="D6" s="191">
        <v>0</v>
      </c>
      <c r="E6" s="192"/>
      <c r="F6" s="191">
        <v>0</v>
      </c>
      <c r="G6" s="192"/>
      <c r="H6" s="191">
        <v>0</v>
      </c>
      <c r="I6" s="192"/>
      <c r="N6" s="6" t="s">
        <v>234</v>
      </c>
      <c r="O6" s="9"/>
    </row>
    <row r="7" spans="1:15" ht="16.5" customHeight="1">
      <c r="A7" s="96" t="s">
        <v>80</v>
      </c>
      <c r="B7" s="194">
        <v>0</v>
      </c>
      <c r="C7" s="194"/>
      <c r="D7" s="194">
        <v>0</v>
      </c>
      <c r="E7" s="194"/>
      <c r="F7" s="194">
        <v>0</v>
      </c>
      <c r="G7" s="194"/>
      <c r="H7" s="194">
        <v>0</v>
      </c>
      <c r="I7" s="194"/>
      <c r="N7" s="6" t="s">
        <v>236</v>
      </c>
      <c r="O7" s="9"/>
    </row>
    <row r="8" spans="1:15" ht="16.5" customHeight="1">
      <c r="A8" s="96" t="s">
        <v>83</v>
      </c>
      <c r="B8" s="194">
        <v>0</v>
      </c>
      <c r="C8" s="194"/>
      <c r="D8" s="194">
        <v>0</v>
      </c>
      <c r="E8" s="194"/>
      <c r="F8" s="194">
        <v>0</v>
      </c>
      <c r="G8" s="194"/>
      <c r="H8" s="194">
        <v>0</v>
      </c>
      <c r="I8" s="194"/>
      <c r="N8" s="6" t="s">
        <v>237</v>
      </c>
      <c r="O8" s="9"/>
    </row>
    <row r="9" spans="1:15" ht="16.5" customHeight="1">
      <c r="A9" s="97" t="s">
        <v>85</v>
      </c>
      <c r="B9" s="194">
        <v>0</v>
      </c>
      <c r="C9" s="194"/>
      <c r="D9" s="194">
        <v>0</v>
      </c>
      <c r="E9" s="194"/>
      <c r="F9" s="194">
        <v>0</v>
      </c>
      <c r="G9" s="194"/>
      <c r="H9" s="194">
        <v>0</v>
      </c>
      <c r="I9" s="194"/>
      <c r="N9" s="6" t="s">
        <v>237</v>
      </c>
      <c r="O9" s="9"/>
    </row>
    <row r="10" spans="1:15" ht="16.5" customHeight="1">
      <c r="A10" s="97" t="s">
        <v>312</v>
      </c>
      <c r="B10" s="194">
        <v>0</v>
      </c>
      <c r="C10" s="194"/>
      <c r="D10" s="194">
        <v>0</v>
      </c>
      <c r="E10" s="194"/>
      <c r="F10" s="194">
        <v>0</v>
      </c>
      <c r="G10" s="194"/>
      <c r="H10" s="194">
        <v>0</v>
      </c>
      <c r="I10" s="194"/>
      <c r="N10" s="6" t="s">
        <v>237</v>
      </c>
      <c r="O10" s="9"/>
    </row>
    <row r="11" spans="1:15" ht="16.5" customHeight="1">
      <c r="A11" s="96" t="s">
        <v>90</v>
      </c>
      <c r="B11" s="194" t="s">
        <v>91</v>
      </c>
      <c r="C11" s="194"/>
      <c r="D11" s="194" t="s">
        <v>91</v>
      </c>
      <c r="E11" s="194"/>
      <c r="F11" s="194" t="s">
        <v>91</v>
      </c>
      <c r="G11" s="194"/>
      <c r="H11" s="194" t="s">
        <v>91</v>
      </c>
      <c r="I11" s="194"/>
      <c r="N11" s="6" t="s">
        <v>234</v>
      </c>
      <c r="O11" s="9"/>
    </row>
    <row r="12" spans="1:15" ht="16.5" customHeight="1">
      <c r="A12" s="96" t="s">
        <v>299</v>
      </c>
      <c r="B12" s="191" t="s">
        <v>91</v>
      </c>
      <c r="C12" s="192"/>
      <c r="D12" s="191" t="s">
        <v>91</v>
      </c>
      <c r="E12" s="192"/>
      <c r="F12" s="191" t="s">
        <v>91</v>
      </c>
      <c r="G12" s="192"/>
      <c r="H12" s="191" t="s">
        <v>91</v>
      </c>
      <c r="I12" s="192"/>
      <c r="N12" s="6" t="s">
        <v>234</v>
      </c>
      <c r="O12" s="9"/>
    </row>
    <row r="13" spans="1:15" ht="29.25" customHeight="1">
      <c r="A13" s="96" t="s">
        <v>300</v>
      </c>
      <c r="B13" s="197" t="s">
        <v>91</v>
      </c>
      <c r="C13" s="198"/>
      <c r="D13" s="197" t="s">
        <v>91</v>
      </c>
      <c r="E13" s="198"/>
      <c r="F13" s="197" t="s">
        <v>91</v>
      </c>
      <c r="G13" s="198"/>
      <c r="H13" s="197" t="s">
        <v>91</v>
      </c>
      <c r="I13" s="198"/>
      <c r="N13" s="6" t="s">
        <v>234</v>
      </c>
      <c r="O13" s="9"/>
    </row>
    <row r="14" spans="1:15" ht="12.75">
      <c r="A14" s="96" t="s">
        <v>285</v>
      </c>
      <c r="B14" s="197" t="s">
        <v>28</v>
      </c>
      <c r="C14" s="198"/>
      <c r="D14" s="197" t="s">
        <v>28</v>
      </c>
      <c r="E14" s="198"/>
      <c r="F14" s="197" t="s">
        <v>28</v>
      </c>
      <c r="G14" s="198"/>
      <c r="H14" s="197" t="s">
        <v>28</v>
      </c>
      <c r="I14" s="198"/>
      <c r="N14" s="6" t="s">
        <v>234</v>
      </c>
      <c r="O14" s="9"/>
    </row>
    <row r="15" spans="1:15" ht="15.75" customHeight="1">
      <c r="A15" s="140"/>
      <c r="H15" s="7"/>
      <c r="I15" s="7"/>
      <c r="K15" s="8"/>
      <c r="L15" s="8"/>
      <c r="M15" s="8"/>
      <c r="N15" s="9"/>
      <c r="O15" s="9"/>
    </row>
    <row r="16" spans="1:15" ht="16.5" customHeight="1">
      <c r="A16" s="203" t="s">
        <v>345</v>
      </c>
      <c r="B16" s="203"/>
      <c r="C16" s="203"/>
      <c r="D16" s="6" t="s">
        <v>346</v>
      </c>
      <c r="H16" s="7"/>
      <c r="I16" s="7"/>
      <c r="K16" s="8"/>
      <c r="L16" s="8"/>
      <c r="M16" s="8"/>
      <c r="N16" s="9"/>
      <c r="O16" s="9"/>
    </row>
    <row r="17" spans="1:15" ht="21.75" customHeight="1">
      <c r="A17" s="203" t="s">
        <v>235</v>
      </c>
      <c r="B17" s="203"/>
      <c r="C17" s="203"/>
      <c r="D17" s="6" t="s">
        <v>240</v>
      </c>
      <c r="H17" s="7"/>
      <c r="I17" s="7"/>
      <c r="K17" s="8"/>
      <c r="L17" s="8"/>
      <c r="M17" s="8"/>
      <c r="N17" s="9"/>
      <c r="O17" s="9"/>
    </row>
    <row r="18" spans="1:15" ht="54.75" customHeight="1">
      <c r="A18" s="47" t="s">
        <v>301</v>
      </c>
      <c r="B18" s="223">
        <f>IF(A16="Республика Беларусь",(J86+K86+L86+M86)*Belarus,J86+K86+L86+M86)</f>
        <v>0</v>
      </c>
      <c r="C18" s="223"/>
      <c r="D18" s="218" t="s">
        <v>325</v>
      </c>
      <c r="E18" s="219"/>
      <c r="F18" s="219"/>
      <c r="G18" s="219"/>
      <c r="H18" s="219"/>
      <c r="I18" s="219"/>
      <c r="K18" s="8"/>
      <c r="L18" s="8"/>
      <c r="M18" s="8"/>
      <c r="N18" s="9"/>
      <c r="O18" s="9"/>
    </row>
    <row r="19" spans="1:15" ht="16.5" customHeight="1">
      <c r="A19" s="67" t="s">
        <v>260</v>
      </c>
      <c r="B19" s="201">
        <f>IF(OR(B8=0,B7=0),0,B18/(B8*B7+D8*D7+F8*F7+H8*H7))</f>
        <v>0</v>
      </c>
      <c r="C19" s="201"/>
      <c r="H19" s="7"/>
      <c r="I19" s="7"/>
      <c r="K19" s="8"/>
      <c r="L19" s="8"/>
      <c r="M19" s="8"/>
      <c r="N19" s="9"/>
      <c r="O19" s="9"/>
    </row>
    <row r="20" spans="1:15" ht="16.5" customHeight="1">
      <c r="A20" s="6" t="s">
        <v>258</v>
      </c>
      <c r="B20" s="6"/>
      <c r="H20" s="7"/>
      <c r="I20" s="7"/>
      <c r="K20" s="8"/>
      <c r="L20" s="8"/>
      <c r="M20" s="8"/>
      <c r="N20" s="9"/>
      <c r="O20" s="9"/>
    </row>
    <row r="21" spans="1:15" ht="16.5" customHeight="1">
      <c r="A21" s="5"/>
      <c r="B21" s="6"/>
      <c r="H21" s="7"/>
      <c r="I21" s="7"/>
      <c r="K21" s="8"/>
      <c r="L21" s="8"/>
      <c r="M21" s="8"/>
      <c r="N21" s="9"/>
      <c r="O21" s="9"/>
    </row>
    <row r="22" spans="1:15" ht="16.5" customHeight="1">
      <c r="A22" s="195" t="s">
        <v>302</v>
      </c>
      <c r="B22" s="220" t="s">
        <v>2</v>
      </c>
      <c r="C22" s="221"/>
      <c r="D22" s="221" t="s">
        <v>3</v>
      </c>
      <c r="E22" s="221"/>
      <c r="F22" s="221" t="s">
        <v>4</v>
      </c>
      <c r="G22" s="221"/>
      <c r="H22" s="221" t="s">
        <v>5</v>
      </c>
      <c r="I22" s="222"/>
      <c r="J22" s="217" t="s">
        <v>6</v>
      </c>
      <c r="K22" s="217"/>
      <c r="L22" s="217"/>
      <c r="M22" s="217"/>
      <c r="O22" s="9"/>
    </row>
    <row r="23" spans="1:15" ht="16.5" customHeight="1">
      <c r="A23" s="195"/>
      <c r="B23" s="98" t="s">
        <v>15</v>
      </c>
      <c r="C23" s="99" t="s">
        <v>16</v>
      </c>
      <c r="D23" s="100" t="s">
        <v>15</v>
      </c>
      <c r="E23" s="99" t="s">
        <v>16</v>
      </c>
      <c r="F23" s="100" t="s">
        <v>15</v>
      </c>
      <c r="G23" s="99" t="s">
        <v>16</v>
      </c>
      <c r="H23" s="100" t="s">
        <v>15</v>
      </c>
      <c r="I23" s="98" t="s">
        <v>16</v>
      </c>
      <c r="J23" s="74">
        <v>1</v>
      </c>
      <c r="K23" s="74">
        <v>2</v>
      </c>
      <c r="L23" s="74">
        <v>3</v>
      </c>
      <c r="M23" s="74">
        <v>4</v>
      </c>
      <c r="O23" s="9"/>
    </row>
    <row r="24" spans="1:15" ht="16.5" customHeight="1">
      <c r="A24" s="101" t="s">
        <v>155</v>
      </c>
      <c r="B24" s="101"/>
      <c r="C24" s="102"/>
      <c r="D24" s="103"/>
      <c r="E24" s="104"/>
      <c r="F24" s="103"/>
      <c r="G24" s="104"/>
      <c r="H24" s="103"/>
      <c r="I24" s="105"/>
      <c r="J24" s="75"/>
      <c r="K24" s="75"/>
      <c r="L24" s="75"/>
      <c r="M24" s="75"/>
      <c r="O24" s="9"/>
    </row>
    <row r="25" spans="1:15" ht="16.5" customHeight="1">
      <c r="A25" s="67" t="s">
        <v>290</v>
      </c>
      <c r="B25" s="78">
        <f>IF(B7=0,0,B7)</f>
        <v>0</v>
      </c>
      <c r="C25" s="79">
        <f>IF(B25=0,0,VLOOKUP(B6,Данные!$A$163:$B$189,2,FALSE)*B8)</f>
        <v>0</v>
      </c>
      <c r="D25" s="80">
        <f>IF(D7=0,0,D7)</f>
        <v>0</v>
      </c>
      <c r="E25" s="79">
        <f>IF(D25=0,0,VLOOKUP(D6,Данные!$A$163:$B$189,2,FALSE)*D8)</f>
        <v>0</v>
      </c>
      <c r="F25" s="80">
        <f>IF(F7=0,0,F7)</f>
        <v>0</v>
      </c>
      <c r="G25" s="79">
        <f>IF(F25=0,0,VLOOKUP(F6,Данные!$A$163:$B$189,2,FALSE)*F8)</f>
        <v>0</v>
      </c>
      <c r="H25" s="80">
        <f>IF(H7=0,0,H7)</f>
        <v>0</v>
      </c>
      <c r="I25" s="81">
        <f>IF(H25=0,0,VLOOKUP(H6,Данные!$A$163:$B$189,2,FALSE)*H8)</f>
        <v>0</v>
      </c>
      <c r="J25" s="76">
        <f>IF(C25=0,0,VLOOKUP($A$17,'Цены Жалюзи'!$B$286:$P$310,2,FALSE)*B25*C25)</f>
        <v>0</v>
      </c>
      <c r="K25" s="76">
        <f>IF(E25=0,0,VLOOKUP($A$17,'Цены Жалюзи'!$B$286:$P$310,2,FALSE)*D25*E25)</f>
        <v>0</v>
      </c>
      <c r="L25" s="76">
        <f>IF(G25=0,0,VLOOKUP($A$17,'Цены Жалюзи'!$B$286:$P$310,2,FALSE)*F25*G25)</f>
        <v>0</v>
      </c>
      <c r="M25" s="76">
        <f>IF(I25=0,0,VLOOKUP($A$17,'Цены Жалюзи'!$B$286:$P$310,2,FALSE)*H25*I25)</f>
        <v>0</v>
      </c>
      <c r="O25" s="9"/>
    </row>
    <row r="26" spans="1:15" ht="16.5" customHeight="1">
      <c r="A26" s="67" t="s">
        <v>313</v>
      </c>
      <c r="B26" s="78">
        <f>IF(B6=0,0,B6)</f>
        <v>0</v>
      </c>
      <c r="C26" s="79">
        <f>IF(B26=0,0,2*B8)</f>
        <v>0</v>
      </c>
      <c r="D26" s="78">
        <f>IF(D6=0,0,D6)</f>
        <v>0</v>
      </c>
      <c r="E26" s="79">
        <f>IF(D26=0,0,2*D8)</f>
        <v>0</v>
      </c>
      <c r="F26" s="78">
        <f>IF(F6=0,0,F6)</f>
        <v>0</v>
      </c>
      <c r="G26" s="79">
        <f>IF(F26=0,0,2*F8)</f>
        <v>0</v>
      </c>
      <c r="H26" s="78">
        <f>IF(H6=0,0,H6)</f>
        <v>0</v>
      </c>
      <c r="I26" s="81">
        <f>IF(H26=0,0,2*H8)</f>
        <v>0</v>
      </c>
      <c r="J26" s="76">
        <f>IF(C26=0,0,VLOOKUP($A$17,'Цены Жалюзи'!$B$286:$P$310,5,FALSE)*B26*C26)</f>
        <v>0</v>
      </c>
      <c r="K26" s="76">
        <f>IF(E26=0,0,VLOOKUP($A$17,'Цены Жалюзи'!$B$286:$P$310,5,FALSE)*D26*E26)</f>
        <v>0</v>
      </c>
      <c r="L26" s="76">
        <f>IF(G26=0,0,VLOOKUP($A$17,'Цены Жалюзи'!$B$286:$P$310,5,FALSE)*F26*G26)</f>
        <v>0</v>
      </c>
      <c r="M26" s="76">
        <f>IF(I26=0,0,VLOOKUP($A$17,'Цены Жалюзи'!$B$286:$P$310,5,FALSE)*H26*I26)</f>
        <v>0</v>
      </c>
      <c r="O26" s="9"/>
    </row>
    <row r="27" spans="1:15" ht="16.5" customHeight="1">
      <c r="A27" s="67" t="s">
        <v>292</v>
      </c>
      <c r="B27" s="78">
        <f>IF(B7=0,0,B7)</f>
        <v>0</v>
      </c>
      <c r="C27" s="79">
        <f>IF(B27=0,0,2*B8)</f>
        <v>0</v>
      </c>
      <c r="D27" s="78">
        <f>IF(D7=0,0,D7)</f>
        <v>0</v>
      </c>
      <c r="E27" s="79">
        <f>IF(D27=0,0,2*D8)</f>
        <v>0</v>
      </c>
      <c r="F27" s="78">
        <f>IF(F7=0,0,F7)</f>
        <v>0</v>
      </c>
      <c r="G27" s="79">
        <f>IF(F27=0,0,2*F8)</f>
        <v>0</v>
      </c>
      <c r="H27" s="78">
        <f>IF(H7=0,0,H7)</f>
        <v>0</v>
      </c>
      <c r="I27" s="81">
        <f>IF(H27=0,0,2*H8)</f>
        <v>0</v>
      </c>
      <c r="J27" s="76">
        <f>IF(C27=0,0,VLOOKUP($A$17,'Цены Жалюзи'!$B$286:$P$310,6,FALSE)*B27*C27)</f>
        <v>0</v>
      </c>
      <c r="K27" s="76">
        <f>IF(E27=0,0,VLOOKUP($A$17,'Цены Жалюзи'!$B$286:$P$310,6,FALSE)*D27*E27)</f>
        <v>0</v>
      </c>
      <c r="L27" s="76">
        <f>IF(G27=0,0,VLOOKUP($A$17,'Цены Жалюзи'!$B$286:$P$310,6,FALSE)*F27*G27)</f>
        <v>0</v>
      </c>
      <c r="M27" s="76">
        <f>IF(I27=0,0,VLOOKUP($A$17,'Цены Жалюзи'!$B$286:$P$310,6,FALSE)*H27*I27)</f>
        <v>0</v>
      </c>
      <c r="O27" s="9"/>
    </row>
    <row r="28" spans="1:15" ht="16.5" customHeight="1">
      <c r="A28" s="67" t="s">
        <v>293</v>
      </c>
      <c r="B28" s="78">
        <f aca="true" t="shared" si="0" ref="B28:I28">B27</f>
        <v>0</v>
      </c>
      <c r="C28" s="79">
        <f t="shared" si="0"/>
        <v>0</v>
      </c>
      <c r="D28" s="78">
        <f t="shared" si="0"/>
        <v>0</v>
      </c>
      <c r="E28" s="79">
        <f t="shared" si="0"/>
        <v>0</v>
      </c>
      <c r="F28" s="78">
        <f t="shared" si="0"/>
        <v>0</v>
      </c>
      <c r="G28" s="79">
        <f t="shared" si="0"/>
        <v>0</v>
      </c>
      <c r="H28" s="78">
        <f t="shared" si="0"/>
        <v>0</v>
      </c>
      <c r="I28" s="81">
        <f t="shared" si="0"/>
        <v>0</v>
      </c>
      <c r="J28" s="76">
        <f>IF(C28=0,0,VLOOKUP($A$17,'Цены Жалюзи'!$B$286:$P$310,7,FALSE)*B28*C28)</f>
        <v>0</v>
      </c>
      <c r="K28" s="76">
        <f>IF(E28=0,0,VLOOKUP($A$17,'Цены Жалюзи'!$B$286:$P$310,7,FALSE)*D28*E28)</f>
        <v>0</v>
      </c>
      <c r="L28" s="76">
        <f>IF(G28=0,0,VLOOKUP($A$17,'Цены Жалюзи'!$B$286:$P$310,7,FALSE)*F28*G28)</f>
        <v>0</v>
      </c>
      <c r="M28" s="76">
        <f>IF(I28=0,0,VLOOKUP($A$17,'Цены Жалюзи'!$B$286:$P$310,7,FALSE)*H28*I28)</f>
        <v>0</v>
      </c>
      <c r="O28" s="9"/>
    </row>
    <row r="29" spans="1:15" ht="16.5" customHeight="1">
      <c r="A29" s="67" t="s">
        <v>294</v>
      </c>
      <c r="B29" s="78">
        <f>IF(B6=0,0,B6-0.1)</f>
        <v>0</v>
      </c>
      <c r="C29" s="79">
        <f>IF(B29=0,0,IF(AND(B7&gt;0,OR(B7&lt;1.5,B7=1.5)),3*B8,IF(AND(B7&gt;1.5,OR(B7&lt;2.2,B7=2.2)),4*B8,IF(AND(B7&gt;2.21,OR(B7&lt;3,B7=3)),5*B8,0))))</f>
        <v>0</v>
      </c>
      <c r="D29" s="78">
        <f>IF(D6=0,0,D6-0.1)</f>
        <v>0</v>
      </c>
      <c r="E29" s="79">
        <f>IF(D29=0,0,IF(AND(D7&gt;0,OR(D7&lt;1.5,D7=1.5)),3*D8,IF(AND(D7&gt;1.5,OR(D7&lt;2.2,D7=2.2)),4*D8,IF(AND(D7&gt;2.2,OR(D7&lt;3,D7=3)),5*D8,0))))</f>
        <v>0</v>
      </c>
      <c r="F29" s="78">
        <f>IF(F6=0,0,F6-0.1)</f>
        <v>0</v>
      </c>
      <c r="G29" s="79">
        <f>IF(F29=0,0,IF(AND(F7&gt;0,OR(F7&lt;1.5,F7=1.5)),3*F8,IF(AND(F7&gt;1.5,OR(F7&lt;2.2,F7=2.2)),4*F8,IF(AND(F7&gt;2.2,OR(F7&lt;3,F7=3)),5*F8,0))))</f>
        <v>0</v>
      </c>
      <c r="H29" s="78">
        <f>IF(H6=0,0,H6-0.1)</f>
        <v>0</v>
      </c>
      <c r="I29" s="81">
        <f>IF(H29=0,0,IF(AND(H7&gt;0,OR(H7&lt;1.5,H7=1.5)),3*H8,IF(AND(H7&gt;1.5,OR(H7&lt;2.2,H7=2.2)),4*H8,IF(AND(H7&gt;2.2,OR(H7&lt;3,H7=3)),5*H8,0))))</f>
        <v>0</v>
      </c>
      <c r="J29" s="76">
        <f>IF(C29=0,0,VLOOKUP($A$17,'Цены Жалюзи'!$B$286:$P$310,8,FALSE)*B29*C29)</f>
        <v>0</v>
      </c>
      <c r="K29" s="76">
        <f>IF(E29=0,0,VLOOKUP($A$17,'Цены Жалюзи'!$B$286:$P$310,8,FALSE)*D29*E29)</f>
        <v>0</v>
      </c>
      <c r="L29" s="76">
        <f>IF(G29=0,0,VLOOKUP($A$17,'Цены Жалюзи'!$B$286:$P$310,8,FALSE)*F29*G29)</f>
        <v>0</v>
      </c>
      <c r="M29" s="76">
        <f>IF(I29=0,0,VLOOKUP($A$17,'Цены Жалюзи'!$B$286:$P$310,8,FALSE)*H29*I29)</f>
        <v>0</v>
      </c>
      <c r="O29" s="9"/>
    </row>
    <row r="30" spans="1:15" ht="16.5" customHeight="1">
      <c r="A30" s="67" t="s">
        <v>295</v>
      </c>
      <c r="B30" s="78">
        <f aca="true" t="shared" si="1" ref="B30:I30">B29</f>
        <v>0</v>
      </c>
      <c r="C30" s="79">
        <f t="shared" si="1"/>
        <v>0</v>
      </c>
      <c r="D30" s="78">
        <f t="shared" si="1"/>
        <v>0</v>
      </c>
      <c r="E30" s="79">
        <f t="shared" si="1"/>
        <v>0</v>
      </c>
      <c r="F30" s="78">
        <f t="shared" si="1"/>
        <v>0</v>
      </c>
      <c r="G30" s="79">
        <f t="shared" si="1"/>
        <v>0</v>
      </c>
      <c r="H30" s="78">
        <f t="shared" si="1"/>
        <v>0</v>
      </c>
      <c r="I30" s="81">
        <f t="shared" si="1"/>
        <v>0</v>
      </c>
      <c r="J30" s="76">
        <f>IF(C30=0,0,VLOOKUP($A$17,'Цены Жалюзи'!$B$286:$P$310,9,FALSE)*B30*C30)</f>
        <v>0</v>
      </c>
      <c r="K30" s="76">
        <f>IF(E30=0,0,VLOOKUP($A$17,'Цены Жалюзи'!$B$286:$P$310,9,FALSE)*D30*E30)</f>
        <v>0</v>
      </c>
      <c r="L30" s="76">
        <f>IF(G30=0,0,VLOOKUP($A$17,'Цены Жалюзи'!$B$286:$P$310,9,FALSE)*F30*G30)</f>
        <v>0</v>
      </c>
      <c r="M30" s="76">
        <f>IF(I30=0,0,VLOOKUP($A$17,'Цены Жалюзи'!$B$286:$P$310,9,FALSE)*H30*I30)</f>
        <v>0</v>
      </c>
      <c r="O30" s="9"/>
    </row>
    <row r="31" spans="1:15" ht="16.5" customHeight="1">
      <c r="A31" s="67" t="s">
        <v>291</v>
      </c>
      <c r="B31" s="78">
        <f>IF(B7=0,0,B7)</f>
        <v>0</v>
      </c>
      <c r="C31" s="79">
        <f>IF(B31=0,0,B8)</f>
        <v>0</v>
      </c>
      <c r="D31" s="78">
        <f>IF(D7=0,0,D7)</f>
        <v>0</v>
      </c>
      <c r="E31" s="79">
        <f>IF(D31=0,0,D8)</f>
        <v>0</v>
      </c>
      <c r="F31" s="78">
        <f>IF(F7=0,0,F7)</f>
        <v>0</v>
      </c>
      <c r="G31" s="79">
        <f>IF(F31=0,0,F8)</f>
        <v>0</v>
      </c>
      <c r="H31" s="78">
        <f>IF(H7=0,0,H7)</f>
        <v>0</v>
      </c>
      <c r="I31" s="81">
        <f>IF(H31=0,0,H8)</f>
        <v>0</v>
      </c>
      <c r="J31" s="76">
        <f>IF(C31=0,0,VLOOKUP($A$17,'Цены Жалюзи'!$B$286:$P$310,4,FALSE)*B31*C31)</f>
        <v>0</v>
      </c>
      <c r="K31" s="76">
        <f>IF(E31=0,0,VLOOKUP($A$17,'Цены Жалюзи'!$B$286:$P$310,4,FALSE)*D31*E31)</f>
        <v>0</v>
      </c>
      <c r="L31" s="76">
        <f>IF(G31=0,0,VLOOKUP($A$17,'Цены Жалюзи'!$B$286:$P$310,4,FALSE)*F31*G31)</f>
        <v>0</v>
      </c>
      <c r="M31" s="76">
        <f>IF(I31=0,0,VLOOKUP($A$17,'Цены Жалюзи'!$B$286:$P$310,4,FALSE)*H31*I31)</f>
        <v>0</v>
      </c>
      <c r="O31" s="9"/>
    </row>
    <row r="32" spans="1:15" ht="16.5" customHeight="1">
      <c r="A32" s="67" t="s">
        <v>7</v>
      </c>
      <c r="B32" s="78">
        <f>IF(AND(B6&gt;0,B11="да"),0,B6)</f>
        <v>0</v>
      </c>
      <c r="C32" s="79">
        <f>IF(B32=0,0,IF(B8=0,0,IF(B8=1,2*2,IF(B10=0,(B8+1)*2-C33,(B8+1+B10)*2-C33))))</f>
        <v>0</v>
      </c>
      <c r="D32" s="80">
        <f>IF(AND(D6&gt;0,D11="да"),0,D6)</f>
        <v>0</v>
      </c>
      <c r="E32" s="79">
        <f>IF(D32=0,0,IF(D8=0,0,IF(D8=1,2*2,IF(D10=0,(D8+1)*2-E33,(D8+1+D10)*2-E33))))</f>
        <v>0</v>
      </c>
      <c r="F32" s="80">
        <f>IF(AND(F6&gt;0,F11="да"),0,F6)</f>
        <v>0</v>
      </c>
      <c r="G32" s="79">
        <f>IF(F32=0,0,IF(F8=0,0,IF(F8=1,2*2,IF(F10=0,(F8+1)*2-G33,(F8+1+F10)*2-G33))))</f>
        <v>0</v>
      </c>
      <c r="H32" s="80">
        <f>IF(AND(H6&gt;0,H11="да"),0,H6)</f>
        <v>0</v>
      </c>
      <c r="I32" s="81">
        <f>IF(H32=0,0,IF(H8=0,0,IF(H8=1,2*2,IF(H10=0,(H8+1)*2-I33,(H8+1+H10)*2-I33))))</f>
        <v>0</v>
      </c>
      <c r="J32" s="76">
        <f>IF(C32=0,0,IF(B14="столб 62х55",VLOOKUP($A$17,'Цены Жалюзи'!$B$286:$P$310,10,FALSE)*B32*C32,IF(B14="столб 60х60",VLOOKUP($A$17,'Цены Жалюзи'!$B$286:$P$310,11,FALSE)*B32*C32,IF(B14="столб 80х80",VLOOKUP($A$17,'Цены Жалюзи'!$B$286:$P$310,12,FALSE)*B32*C32,0))))</f>
        <v>0</v>
      </c>
      <c r="K32" s="76">
        <f>IF(E32=0,0,IF(D14="столб 62х55",VLOOKUP($A$17,'Цены Жалюзи'!$B$286:$P$310,10,FALSE)*D32*E32,IF(D14="столб 60х60",VLOOKUP($A$17,'Цены Жалюзи'!$B$286:$P$310,11,FALSE)*D32*E32,IF(D14="столб 80х80",VLOOKUP($A$17,'Цены Жалюзи'!$B$286:$P$310,12,FALSE)*D32*E32,0))))</f>
        <v>0</v>
      </c>
      <c r="L32" s="76">
        <f>IF(G32=0,0,IF(F14="столб 62х55",VLOOKUP($A$17,'Цены Жалюзи'!$B$286:$P$310,10,FALSE)*F32*G32,IF(F14="столб 60х60",VLOOKUP($A$17,'Цены Жалюзи'!$B$286:$P$310,11,FALSE)*F32*G32,IF(F14="столб 80х80",VLOOKUP($A$17,'Цены Жалюзи'!$B$286:$P$310,12,FALSE)*F32*G32,0))))</f>
        <v>0</v>
      </c>
      <c r="M32" s="76">
        <f>IF(I32=0,0,IF(H14="столб 62х55",VLOOKUP($A$17,'Цены Жалюзи'!$B$286:$P$310,10,FALSE)*H32*I32,IF(H14="столб 60х60",VLOOKUP($A$17,'Цены Жалюзи'!$B$286:$P$310,11,FALSE)*H32*I32,IF(H14="столб 80х80",VLOOKUP($A$17,'Цены Жалюзи'!$B$286:$P$310,12,FALSE)*H32*I32,0))))</f>
        <v>0</v>
      </c>
      <c r="N32" s="136"/>
      <c r="O32" s="9"/>
    </row>
    <row r="33" spans="1:15" ht="16.5" customHeight="1">
      <c r="A33" s="67" t="s">
        <v>25</v>
      </c>
      <c r="B33" s="78">
        <f>IF(OR(AND(B9=0,B10=0),B11="да"),0,B6)</f>
        <v>0</v>
      </c>
      <c r="C33" s="79">
        <f>IF(B33=0,0,B9+B10*2)</f>
        <v>0</v>
      </c>
      <c r="D33" s="80">
        <f>IF(OR(AND(D9=0,D10=0),D11="да"),0,D6)</f>
        <v>0</v>
      </c>
      <c r="E33" s="79">
        <f>IF(D33=0,0,D9+D10*2)</f>
        <v>0</v>
      </c>
      <c r="F33" s="80">
        <f>IF(OR(AND(F9=0,F10=0),F11="да"),0,F6)</f>
        <v>0</v>
      </c>
      <c r="G33" s="79">
        <f>IF(F33=0,0,F9+F10*2)</f>
        <v>0</v>
      </c>
      <c r="H33" s="80">
        <f>IF(OR(AND(H9=0,H10=0),H11="да"),0,H6)</f>
        <v>0</v>
      </c>
      <c r="I33" s="81">
        <f>IF(H33=0,0,H9+H10*2)</f>
        <v>0</v>
      </c>
      <c r="J33" s="76">
        <f>IF(C33=0,0,IF(B14="столб 62х55",VLOOKUP($A$17,'Цены Жалюзи'!$B$286:$P$310,13,FALSE)*B33*C33,IF(B14="столб 60х60",VLOOKUP($A$17,'Цены Жалюзи'!$B$286:$P$310,14,FALSE)*B33*C33,IF(B14="столб 80х80",VLOOKUP($A$17,'Цены Жалюзи'!$B$286:$P$310,15,FALSE)*B33*C33,0))))</f>
        <v>0</v>
      </c>
      <c r="K33" s="76">
        <f>IF(E33=0,0,IF(D14="столб 62х55",VLOOKUP($A$17,'Цены Жалюзи'!$B$286:$P$310,13,FALSE)*D33*E33,IF(D14="столб 60х60",VLOOKUP($A$17,'Цены Жалюзи'!$B$286:$P$310,14,FALSE)*D33*E33,IF(D14="столб 80х80",VLOOKUP($A$17,'Цены Жалюзи'!$B$286:$P$310,15,FALSE)*D33*E33,0))))</f>
        <v>0</v>
      </c>
      <c r="L33" s="76">
        <f>IF(G33=0,0,IF(F14="столб 62х55",VLOOKUP($A$17,'Цены Жалюзи'!$B$286:$P$310,13,FALSE)*F33*G33,IF(F14="столб 60х60",VLOOKUP($A$17,'Цены Жалюзи'!$B$286:$P$310,14,FALSE)*F33*G33,IF(F14="столб 80х80",VLOOKUP($A$17,'Цены Жалюзи'!$B$286:$P$310,15,FALSE)*F33*G33,0))))</f>
        <v>0</v>
      </c>
      <c r="M33" s="76">
        <f>IF(I33=0,0,IF(H14="столб 62х55",VLOOKUP($A$17,'Цены Жалюзи'!$B$286:$P$310,13,FALSE)*H33*I33,IF(H14="столб 60х60",VLOOKUP($A$17,'Цены Жалюзи'!$B$286:$P$310,14,FALSE)*H33*I33,IF(H14="столб 80х80",VLOOKUP($A$17,'Цены Жалюзи'!$B$286:$P$310,15,FALSE)*H33*I33,0))))</f>
        <v>0</v>
      </c>
      <c r="O33" s="9"/>
    </row>
    <row r="34" spans="1:15" ht="16.5" customHeight="1">
      <c r="A34" s="52" t="s">
        <v>286</v>
      </c>
      <c r="B34" s="82" t="s">
        <v>28</v>
      </c>
      <c r="C34" s="79">
        <f>IF(B11="да",0,(IF(B8=0,0,IF(B8=1,2,IF(B10=0,B8+1,B8+1+B10)))))</f>
        <v>0</v>
      </c>
      <c r="D34" s="83" t="s">
        <v>28</v>
      </c>
      <c r="E34" s="79">
        <f>IF(D11="да",0,(IF(D8=0,0,IF(D8=1,2,IF(D10=0,D8+1,D8+1+D10)))))</f>
        <v>0</v>
      </c>
      <c r="F34" s="83" t="s">
        <v>28</v>
      </c>
      <c r="G34" s="79">
        <f>IF(F11="да",0,(IF(F8=0,0,IF(F8=1,2,IF(F10=0,F8+1,F8+1+F10)))))</f>
        <v>0</v>
      </c>
      <c r="H34" s="83" t="s">
        <v>28</v>
      </c>
      <c r="I34" s="81">
        <f>IF(H11="да",0,(IF(H8=0,0,IF(H8=1,2,IF(H10=0,H8+1,H8+1+H10)))))</f>
        <v>0</v>
      </c>
      <c r="J34" s="76"/>
      <c r="K34" s="76"/>
      <c r="L34" s="76"/>
      <c r="M34" s="76"/>
      <c r="O34" s="9"/>
    </row>
    <row r="35" spans="1:15" ht="16.5" customHeight="1">
      <c r="A35" s="53" t="s">
        <v>129</v>
      </c>
      <c r="B35" s="82" t="str">
        <f>IF(C35=0,"-","4,2х19")</f>
        <v>-</v>
      </c>
      <c r="C35" s="79">
        <f>IF(B$8=0,0,IF(B$11="нет",ROUNDUP(B26/0.4,0)*C26,0)+ROUNDUP(B29/0.4,0)*B8*2)</f>
        <v>0</v>
      </c>
      <c r="D35" s="82" t="str">
        <f>IF(E35=0,"-","4,2х19")</f>
        <v>-</v>
      </c>
      <c r="E35" s="79">
        <f>IF(D$8=0,0,IF(D$11="нет",ROUNDUP(D26/0.4,0)*E26,0)+ROUNDUP(D29/0.4,0)*D8*2)</f>
        <v>0</v>
      </c>
      <c r="F35" s="82" t="str">
        <f>IF(G35=0,"-","4,2х19")</f>
        <v>-</v>
      </c>
      <c r="G35" s="79">
        <f>IF(F$8=0,0,IF(F$11="нет",ROUNDUP(F26/0.4,0)*G26,0)+ROUNDUP(F29/0.4,0)*F8*2)</f>
        <v>0</v>
      </c>
      <c r="H35" s="82" t="str">
        <f>IF(I35=0,"-","4,2х19")</f>
        <v>-</v>
      </c>
      <c r="I35" s="81">
        <f>IF(H$8=0,0,IF(H$11="нет",ROUNDUP(H26/0.4,0)*I26,0)+ROUNDUP(H29/0.4,0)*H8*2)</f>
        <v>0</v>
      </c>
      <c r="J35" s="76">
        <f>IF(C35=0,0,IF(OR($A$17="Цинк 0,5",$A$17="Цинк 0,55"),C35*'Цены Жалюзи'!$D$322,C35*'Цены Жалюзи'!$D$323))</f>
        <v>0</v>
      </c>
      <c r="K35" s="76">
        <f>IF(E35=0,0,IF(OR($A$17="Цинк 0,5",$A$17="Цинк 0,55"),E35*'Цены Жалюзи'!$D$322,E35*'Цены Жалюзи'!$D$323))</f>
        <v>0</v>
      </c>
      <c r="L35" s="76">
        <f>IF(G35=0,0,IF(OR($A$17="Цинк 0,5",$A$17="Цинк 0,55"),G35*'Цены Жалюзи'!$D$322,G35*'Цены Жалюзи'!$D$323))</f>
        <v>0</v>
      </c>
      <c r="M35" s="76">
        <f>IF(I35=0,0,IF(OR($A$17="Цинк 0,5",$A$17="Цинк 0,55"),I35*'Цены Жалюзи'!$D$322,I35*'Цены Жалюзи'!$D$323))</f>
        <v>0</v>
      </c>
      <c r="O35" s="9"/>
    </row>
    <row r="36" spans="1:15" ht="16.5" customHeight="1">
      <c r="A36" s="67" t="s">
        <v>36</v>
      </c>
      <c r="B36" s="82" t="str">
        <f>IF(C36=0,"-","4,2x16")</f>
        <v>-</v>
      </c>
      <c r="C36" s="79">
        <f>IF(B$8=0,0,B$8*8+(C29-2*B$8)*2+4*C31+(C29-2*B$8)*2)+IF(AND(B7&gt;0,OR(B7&lt;1.5,B7=1.5)),ROUNDUP(C25/2,0),IF(AND(B7&gt;1.5,OR(B7&lt;2.2,B7=2.2)),C25*1,IF(AND(B7&gt;2.21,OR(B7&lt;3,B7=3)),ROUNDUP((C25/2*1+C25/2*2)/B$8,0)*B$8)))</f>
        <v>0</v>
      </c>
      <c r="D36" s="82" t="str">
        <f>IF(E36=0,"-","4,2x16")</f>
        <v>-</v>
      </c>
      <c r="E36" s="79">
        <f>IF(D$8=0,0,D$8*8+(E29-2*D$8)*2+4*E31+(E29-2*D$8)*2)+IF(AND(D7&gt;0,OR(D7&lt;1.5,D7=1.5)),ROUNDUP(E25/2,0),IF(AND(D7&gt;1.5,OR(D7&lt;2.2,D7=2.2)),E25*1,IF(AND(D7&gt;2.21,OR(D7&lt;3,D7=3)),ROUNDUP((E25/2*1+E25/2*2)/D$8,0)*D$8)))</f>
        <v>0</v>
      </c>
      <c r="F36" s="82" t="str">
        <f>IF(G36=0,"-","4,2x16")</f>
        <v>-</v>
      </c>
      <c r="G36" s="79">
        <f>IF(F$8=0,0,F$8*8+(G29-2*F$8)*2+4*G31+(G29-2*F$8)*2)+IF(AND(F7&gt;0,OR(F7&lt;1.5,F7=1.5)),ROUNDUP(G25/2,0),IF(AND(F7&gt;1.5,OR(F7&lt;2.2,F7=2.2)),G25*1,IF(AND(F7&gt;2.21,OR(F7&lt;3,F7=3)),ROUNDUP((G25/2*1+G25/2*2)/F$8,0)*F$8)))</f>
        <v>0</v>
      </c>
      <c r="H36" s="82" t="str">
        <f>IF(I36=0,"-","4,2x16")</f>
        <v>-</v>
      </c>
      <c r="I36" s="81">
        <f>IF(H$8=0,0,H$8*8+(I29-2*H$8)*2+4*I31+(I29-2*H$8)*2)+IF(AND(H7&gt;0,OR(H7&lt;1.5,H7=1.5)),ROUNDUP(I25/2,0),IF(AND(H7&gt;1.5,OR(H7&lt;2.2,H7=2.2)),I25*1,IF(AND(H7&gt;2.21,OR(H7&lt;3,H7=3)),ROUNDUP((I25/2*1+I25/2*2)/H$8,0)*H$8)))</f>
        <v>0</v>
      </c>
      <c r="J36" s="76">
        <f>IF(C36=0,0,IF(OR($A$17="Цинк 0,5",$A$17="Цинк 0,55"),C36*'Цены Жалюзи'!$D$324,C36*'Цены Жалюзи'!$D$325))</f>
        <v>0</v>
      </c>
      <c r="K36" s="76">
        <f>IF(E36=0,0,IF(OR($A$17="Цинк 0,5",$A$17="Цинк 0,55"),E36*'Цены Жалюзи'!$D$324,E36*'Цены Жалюзи'!$D$325))</f>
        <v>0</v>
      </c>
      <c r="L36" s="76">
        <f>IF(G36=0,0,IF(OR($A$17="Цинк 0,5",$A$17="Цинк 0,55"),G36*'Цены Жалюзи'!$D$324,G36*'Цены Жалюзи'!$D$325))</f>
        <v>0</v>
      </c>
      <c r="M36" s="76">
        <f>IF(I36=0,0,IF(OR($A$17="Цинк 0,5",$A$17="Цинк 0,55"),I36*'Цены Жалюзи'!$D$324,I36*'Цены Жалюзи'!$D$325))</f>
        <v>0</v>
      </c>
      <c r="O36" s="9"/>
    </row>
    <row r="37" spans="1:15" ht="16.5" customHeight="1">
      <c r="A37" s="67" t="s">
        <v>306</v>
      </c>
      <c r="B37" s="82" t="str">
        <f>IF(C37=0,"-","7,5x52")</f>
        <v>-</v>
      </c>
      <c r="C37" s="79">
        <f>IF(B$8=0,0,IF(B$11="да",ROUNDUP(B26/0.4,0)*C26,0))</f>
        <v>0</v>
      </c>
      <c r="D37" s="82" t="str">
        <f>IF(E37=0,"-","7,5x52")</f>
        <v>-</v>
      </c>
      <c r="E37" s="79">
        <f>IF(D$8=0,0,IF(D$11="да",ROUNDUP(D26/0.4,0)*E26,0))</f>
        <v>0</v>
      </c>
      <c r="F37" s="82" t="str">
        <f>IF(G37=0,"-","7,5x52")</f>
        <v>-</v>
      </c>
      <c r="G37" s="79">
        <f>IF(F$8=0,0,IF(F$11="да",ROUNDUP(F26/0.4,0)*G26,0))</f>
        <v>0</v>
      </c>
      <c r="H37" s="82" t="str">
        <f>IF(I37=0,"-","7,5x52")</f>
        <v>-</v>
      </c>
      <c r="I37" s="81">
        <f>IF(H$8=0,0,IF(H$11="да",ROUNDUP(H26/0.4,0)*I26,0))</f>
        <v>0</v>
      </c>
      <c r="J37" s="76">
        <f>IF(C37=0,0,C37*'Цены Жалюзи'!$D$327)</f>
        <v>0</v>
      </c>
      <c r="K37" s="76">
        <f>IF(E37=0,0,E37*'Цены Жалюзи'!$D$327)</f>
        <v>0</v>
      </c>
      <c r="L37" s="76">
        <f>IF(G37=0,0,G37*'Цены Жалюзи'!$D$327)</f>
        <v>0</v>
      </c>
      <c r="M37" s="76">
        <f>IF(I37=0,0,I37*'Цены Жалюзи'!$D$327)</f>
        <v>0</v>
      </c>
      <c r="O37" s="9"/>
    </row>
    <row r="38" spans="1:15" ht="16.5" customHeight="1">
      <c r="A38" s="67" t="s">
        <v>112</v>
      </c>
      <c r="B38" s="82"/>
      <c r="C38" s="79">
        <f>C37</f>
        <v>0</v>
      </c>
      <c r="D38" s="151"/>
      <c r="E38" s="79">
        <f>E37</f>
        <v>0</v>
      </c>
      <c r="F38" s="151"/>
      <c r="G38" s="79">
        <f>G37</f>
        <v>0</v>
      </c>
      <c r="H38" s="151"/>
      <c r="I38" s="81">
        <f>I37</f>
        <v>0</v>
      </c>
      <c r="J38" s="76">
        <f>IF(C38=0,0,C38*'Цены Жалюзи'!$D$329)</f>
        <v>0</v>
      </c>
      <c r="K38" s="76">
        <f>IF(E38=0,0,E38*'Цены Жалюзи'!$D$329)</f>
        <v>0</v>
      </c>
      <c r="L38" s="76">
        <f>IF(G38=0,0,G38*'Цены Жалюзи'!$D$329)</f>
        <v>0</v>
      </c>
      <c r="M38" s="76">
        <f>IF(I38=0,0,I38*'Цены Жалюзи'!$D$329)</f>
        <v>0</v>
      </c>
      <c r="O38" s="9"/>
    </row>
    <row r="39" spans="1:15" ht="16.5" customHeight="1">
      <c r="A39" s="101" t="s">
        <v>39</v>
      </c>
      <c r="B39" s="101"/>
      <c r="C39" s="102"/>
      <c r="D39" s="103"/>
      <c r="E39" s="104"/>
      <c r="F39" s="103"/>
      <c r="G39" s="104"/>
      <c r="H39" s="103"/>
      <c r="I39" s="105"/>
      <c r="J39" s="75"/>
      <c r="K39" s="75"/>
      <c r="L39" s="75"/>
      <c r="M39" s="75"/>
      <c r="O39" s="9"/>
    </row>
    <row r="40" spans="1:15" ht="16.5" customHeight="1">
      <c r="A40" s="67" t="s">
        <v>40</v>
      </c>
      <c r="B40" s="84"/>
      <c r="C40" s="79">
        <f>IF($B$12=$A40,1,0)</f>
        <v>0</v>
      </c>
      <c r="D40" s="85"/>
      <c r="E40" s="79">
        <f>IF($D$12=$A40,1,0)</f>
        <v>0</v>
      </c>
      <c r="F40" s="85"/>
      <c r="G40" s="79">
        <f>IF($F$12=$A40,1,0)</f>
        <v>0</v>
      </c>
      <c r="H40" s="85"/>
      <c r="I40" s="81">
        <f>IF($H$12=$A40,1,0)</f>
        <v>0</v>
      </c>
      <c r="J40" s="76">
        <f>IF(C40=0,0,'Цены Жалюзи'!$S$322)</f>
        <v>0</v>
      </c>
      <c r="K40" s="76">
        <f>IF(E40=0,0,'Цены Жалюзи'!$S$322)</f>
        <v>0</v>
      </c>
      <c r="L40" s="76">
        <f>IF(G40=0,0,'Цены Жалюзи'!$S$322)</f>
        <v>0</v>
      </c>
      <c r="M40" s="76">
        <f>IF(I40=0,0,'Цены Жалюзи'!$S$322)</f>
        <v>0</v>
      </c>
      <c r="O40" s="9"/>
    </row>
    <row r="41" spans="1:15" ht="16.5" customHeight="1">
      <c r="A41" s="67" t="s">
        <v>319</v>
      </c>
      <c r="B41" s="84"/>
      <c r="C41" s="79">
        <f>IF($B$12=$A41,1,0)</f>
        <v>0</v>
      </c>
      <c r="D41" s="85"/>
      <c r="E41" s="79">
        <f>IF($D$12=$A41,1,0)</f>
        <v>0</v>
      </c>
      <c r="F41" s="85"/>
      <c r="G41" s="79">
        <f>IF($F$12=$A41,1,0)</f>
        <v>0</v>
      </c>
      <c r="H41" s="85"/>
      <c r="I41" s="81">
        <f>IF($H$12=$A41,1,0)</f>
        <v>0</v>
      </c>
      <c r="J41" s="76">
        <f>IF(C41=0,0,'Цены Жалюзи'!$S$323)</f>
        <v>0</v>
      </c>
      <c r="K41" s="76">
        <f>IF(E41=0,0,'Цены Жалюзи'!$S$323)</f>
        <v>0</v>
      </c>
      <c r="L41" s="76">
        <f>IF(G41=0,0,'Цены Жалюзи'!$S$323)</f>
        <v>0</v>
      </c>
      <c r="M41" s="76">
        <f>IF(I41=0,0,'Цены Жалюзи'!$S$323)</f>
        <v>0</v>
      </c>
      <c r="O41" s="9"/>
    </row>
    <row r="42" spans="1:15" ht="16.5" customHeight="1">
      <c r="A42" s="67" t="s">
        <v>42</v>
      </c>
      <c r="B42" s="84"/>
      <c r="C42" s="79">
        <f>IF($B$12=$A42,1,0)</f>
        <v>0</v>
      </c>
      <c r="D42" s="85"/>
      <c r="E42" s="79">
        <f>IF($D$12=$A42,1,0)</f>
        <v>0</v>
      </c>
      <c r="F42" s="85"/>
      <c r="G42" s="79">
        <f>IF($F$12=$A42,1,0)</f>
        <v>0</v>
      </c>
      <c r="H42" s="85"/>
      <c r="I42" s="81">
        <f>IF($H$12=$A42,1,0)</f>
        <v>0</v>
      </c>
      <c r="J42" s="76">
        <f>IF(C42=0,0,'Цены Жалюзи'!$S$324)</f>
        <v>0</v>
      </c>
      <c r="K42" s="76">
        <f>IF(E42=0,0,'Цены Жалюзи'!$S$324)</f>
        <v>0</v>
      </c>
      <c r="L42" s="76">
        <f>IF(G42=0,0,'Цены Жалюзи'!$S$324)</f>
        <v>0</v>
      </c>
      <c r="M42" s="76">
        <f>IF(I42=0,0,'Цены Жалюзи'!$S$324)</f>
        <v>0</v>
      </c>
      <c r="O42" s="9"/>
    </row>
    <row r="43" spans="1:15" ht="16.5" customHeight="1">
      <c r="A43" s="67" t="s">
        <v>320</v>
      </c>
      <c r="B43" s="84"/>
      <c r="C43" s="79">
        <f>IF($B$12=$A43,1,0)</f>
        <v>0</v>
      </c>
      <c r="D43" s="85"/>
      <c r="E43" s="79">
        <f>IF($D$12=$A43,1,0)</f>
        <v>0</v>
      </c>
      <c r="F43" s="85"/>
      <c r="G43" s="79">
        <f>IF($F$12=$A43,1,0)</f>
        <v>0</v>
      </c>
      <c r="H43" s="85"/>
      <c r="I43" s="81">
        <f>IF($H$12=$A43,1,0)</f>
        <v>0</v>
      </c>
      <c r="J43" s="76">
        <f>IF(C43=0,0,'Цены Жалюзи'!$S$325)</f>
        <v>0</v>
      </c>
      <c r="K43" s="76">
        <f>IF(E43=0,0,'Цены Жалюзи'!$S$325)</f>
        <v>0</v>
      </c>
      <c r="L43" s="76">
        <f>IF(G43=0,0,'Цены Жалюзи'!$S$325)</f>
        <v>0</v>
      </c>
      <c r="M43" s="76">
        <f>IF(I43=0,0,'Цены Жалюзи'!$S$325)</f>
        <v>0</v>
      </c>
      <c r="O43" s="9"/>
    </row>
    <row r="44" spans="1:15" ht="16.5" customHeight="1">
      <c r="A44" s="67" t="s">
        <v>321</v>
      </c>
      <c r="B44" s="84"/>
      <c r="C44" s="79">
        <f>IF($B$12=$A44,1,0)</f>
        <v>0</v>
      </c>
      <c r="D44" s="85"/>
      <c r="E44" s="79">
        <f>IF($D$12=$A44,1,0)</f>
        <v>0</v>
      </c>
      <c r="F44" s="85"/>
      <c r="G44" s="79">
        <f>IF($F$12=$A44,1,0)</f>
        <v>0</v>
      </c>
      <c r="H44" s="85"/>
      <c r="I44" s="81">
        <f>IF($H$12=$A44,1,0)</f>
        <v>0</v>
      </c>
      <c r="J44" s="76">
        <f>IF(C44=0,0,'Цены Жалюзи'!$S$326)</f>
        <v>0</v>
      </c>
      <c r="K44" s="76">
        <f>IF(E44=0,0,'Цены Жалюзи'!$S$326)</f>
        <v>0</v>
      </c>
      <c r="L44" s="76">
        <f>IF(G44=0,0,'Цены Жалюзи'!$S$326)</f>
        <v>0</v>
      </c>
      <c r="M44" s="76">
        <f>IF(I44=0,0,'Цены Жалюзи'!$S$326)</f>
        <v>0</v>
      </c>
      <c r="O44" s="9"/>
    </row>
    <row r="45" spans="1:15" ht="16.5" customHeight="1">
      <c r="A45" s="101" t="s">
        <v>43</v>
      </c>
      <c r="B45" s="101"/>
      <c r="C45" s="102"/>
      <c r="D45" s="103"/>
      <c r="E45" s="104"/>
      <c r="F45" s="103"/>
      <c r="G45" s="104"/>
      <c r="H45" s="103"/>
      <c r="I45" s="105"/>
      <c r="J45" s="75"/>
      <c r="K45" s="75"/>
      <c r="L45" s="75"/>
      <c r="M45" s="75"/>
      <c r="O45" s="9"/>
    </row>
    <row r="46" spans="1:15" ht="16.5" customHeight="1">
      <c r="A46" s="67" t="s">
        <v>45</v>
      </c>
      <c r="B46" s="84"/>
      <c r="C46" s="79">
        <f>IF(B$13=$A46,1,0)</f>
        <v>0</v>
      </c>
      <c r="D46" s="85"/>
      <c r="E46" s="79">
        <f aca="true" t="shared" si="2" ref="E46:E61">IF(D$13=$A46,1,0)</f>
        <v>0</v>
      </c>
      <c r="F46" s="85"/>
      <c r="G46" s="79">
        <f aca="true" t="shared" si="3" ref="G46:G61">IF(F$13=$A46,1,0)</f>
        <v>0</v>
      </c>
      <c r="H46" s="85"/>
      <c r="I46" s="81">
        <f aca="true" t="shared" si="4" ref="I46:I61">IF(H$13=$A46,1,0)</f>
        <v>0</v>
      </c>
      <c r="J46" s="76">
        <f>IF(C46=0,0,'Цены Жалюзи'!$S$327)</f>
        <v>0</v>
      </c>
      <c r="K46" s="76">
        <f>IF(E46=0,0,'Цены Жалюзи'!$S$327)</f>
        <v>0</v>
      </c>
      <c r="L46" s="76">
        <f>IF(G46=0,0,'Цены Жалюзи'!$S$327)</f>
        <v>0</v>
      </c>
      <c r="M46" s="76">
        <f>IF(I46=0,0,'Цены Жалюзи'!$S$327)</f>
        <v>0</v>
      </c>
      <c r="O46" s="9"/>
    </row>
    <row r="47" spans="1:15" ht="16.5" customHeight="1">
      <c r="A47" s="67" t="s">
        <v>322</v>
      </c>
      <c r="B47" s="84"/>
      <c r="C47" s="79">
        <f aca="true" t="shared" si="5" ref="C47:C61">IF(B$13=$A47,1,0)</f>
        <v>0</v>
      </c>
      <c r="D47" s="85"/>
      <c r="E47" s="79">
        <f t="shared" si="2"/>
        <v>0</v>
      </c>
      <c r="F47" s="85"/>
      <c r="G47" s="79">
        <f t="shared" si="3"/>
        <v>0</v>
      </c>
      <c r="H47" s="85"/>
      <c r="I47" s="81">
        <f t="shared" si="4"/>
        <v>0</v>
      </c>
      <c r="J47" s="76">
        <f>IF(C47=0,0,'Цены Жалюзи'!$S$328)</f>
        <v>0</v>
      </c>
      <c r="K47" s="76">
        <f>IF(E47=0,0,'Цены Жалюзи'!$S$328)</f>
        <v>0</v>
      </c>
      <c r="L47" s="76">
        <f>IF(G47=0,0,'Цены Жалюзи'!$S$328)</f>
        <v>0</v>
      </c>
      <c r="M47" s="76">
        <f>IF(I47=0,0,'Цены Жалюзи'!$S$328)</f>
        <v>0</v>
      </c>
      <c r="O47" s="9"/>
    </row>
    <row r="48" spans="1:15" ht="16.5" customHeight="1">
      <c r="A48" s="67" t="s">
        <v>46</v>
      </c>
      <c r="B48" s="84"/>
      <c r="C48" s="79">
        <f t="shared" si="5"/>
        <v>0</v>
      </c>
      <c r="D48" s="85"/>
      <c r="E48" s="79">
        <f t="shared" si="2"/>
        <v>0</v>
      </c>
      <c r="F48" s="85"/>
      <c r="G48" s="79">
        <f t="shared" si="3"/>
        <v>0</v>
      </c>
      <c r="H48" s="85"/>
      <c r="I48" s="81">
        <f t="shared" si="4"/>
        <v>0</v>
      </c>
      <c r="J48" s="76">
        <f>IF(C48=0,0,'Цены Жалюзи'!$S$329)</f>
        <v>0</v>
      </c>
      <c r="K48" s="76">
        <f>IF(E48=0,0,'Цены Жалюзи'!$S$329)</f>
        <v>0</v>
      </c>
      <c r="L48" s="76">
        <f>IF(G48=0,0,'Цены Жалюзи'!$S$329)</f>
        <v>0</v>
      </c>
      <c r="M48" s="76">
        <f>IF(I48=0,0,'Цены Жалюзи'!$S$329)</f>
        <v>0</v>
      </c>
      <c r="O48" s="9"/>
    </row>
    <row r="49" spans="1:15" ht="16.5" customHeight="1">
      <c r="A49" s="67" t="s">
        <v>323</v>
      </c>
      <c r="B49" s="84"/>
      <c r="C49" s="79">
        <f t="shared" si="5"/>
        <v>0</v>
      </c>
      <c r="D49" s="85"/>
      <c r="E49" s="79">
        <f t="shared" si="2"/>
        <v>0</v>
      </c>
      <c r="F49" s="85"/>
      <c r="G49" s="79">
        <f t="shared" si="3"/>
        <v>0</v>
      </c>
      <c r="H49" s="85"/>
      <c r="I49" s="81">
        <f t="shared" si="4"/>
        <v>0</v>
      </c>
      <c r="J49" s="76">
        <f>IF(C49=0,0,'Цены Жалюзи'!$S$330)</f>
        <v>0</v>
      </c>
      <c r="K49" s="76">
        <f>IF(E49=0,0,'Цены Жалюзи'!$S$330)</f>
        <v>0</v>
      </c>
      <c r="L49" s="76">
        <f>IF(G49=0,0,'Цены Жалюзи'!$S$330)</f>
        <v>0</v>
      </c>
      <c r="M49" s="76">
        <f>IF(I49=0,0,'Цены Жалюзи'!$S$330)</f>
        <v>0</v>
      </c>
      <c r="O49" s="9"/>
    </row>
    <row r="50" spans="1:15" ht="17.25" customHeight="1">
      <c r="A50" s="67" t="s">
        <v>47</v>
      </c>
      <c r="B50" s="84"/>
      <c r="C50" s="79">
        <f t="shared" si="5"/>
        <v>0</v>
      </c>
      <c r="D50" s="85"/>
      <c r="E50" s="79">
        <f t="shared" si="2"/>
        <v>0</v>
      </c>
      <c r="F50" s="85"/>
      <c r="G50" s="79">
        <f t="shared" si="3"/>
        <v>0</v>
      </c>
      <c r="H50" s="85"/>
      <c r="I50" s="81">
        <f t="shared" si="4"/>
        <v>0</v>
      </c>
      <c r="J50" s="76">
        <f>IF(C50=0,0,'Цены Жалюзи'!$S$331)</f>
        <v>0</v>
      </c>
      <c r="K50" s="76">
        <f>IF(E50=0,0,'Цены Жалюзи'!$S$331)</f>
        <v>0</v>
      </c>
      <c r="L50" s="76">
        <f>IF(G50=0,0,'Цены Жалюзи'!$S$331)</f>
        <v>0</v>
      </c>
      <c r="M50" s="76">
        <f>IF(I50=0,0,'Цены Жалюзи'!$S$331)</f>
        <v>0</v>
      </c>
      <c r="O50" s="9"/>
    </row>
    <row r="51" spans="1:15" ht="16.5" customHeight="1">
      <c r="A51" s="67" t="s">
        <v>49</v>
      </c>
      <c r="B51" s="84"/>
      <c r="C51" s="79">
        <f>IF(B$13=$A51,1,0)</f>
        <v>0</v>
      </c>
      <c r="D51" s="85"/>
      <c r="E51" s="79">
        <f t="shared" si="2"/>
        <v>0</v>
      </c>
      <c r="F51" s="85"/>
      <c r="G51" s="79">
        <f t="shared" si="3"/>
        <v>0</v>
      </c>
      <c r="H51" s="85"/>
      <c r="I51" s="81">
        <f t="shared" si="4"/>
        <v>0</v>
      </c>
      <c r="J51" s="76">
        <f>IF(C51=0,0,'Цены Жалюзи'!$S$332)</f>
        <v>0</v>
      </c>
      <c r="K51" s="76">
        <f>IF(E51=0,0,'Цены Жалюзи'!$S$332)</f>
        <v>0</v>
      </c>
      <c r="L51" s="76">
        <f>IF(G51=0,0,'Цены Жалюзи'!$S$332)</f>
        <v>0</v>
      </c>
      <c r="M51" s="76">
        <f>IF(I51=0,0,'Цены Жалюзи'!$S$332)</f>
        <v>0</v>
      </c>
      <c r="O51" s="9"/>
    </row>
    <row r="52" spans="1:15" ht="16.5" customHeight="1">
      <c r="A52" s="67" t="s">
        <v>51</v>
      </c>
      <c r="B52" s="84"/>
      <c r="C52" s="79">
        <f t="shared" si="5"/>
        <v>0</v>
      </c>
      <c r="D52" s="85"/>
      <c r="E52" s="79">
        <f t="shared" si="2"/>
        <v>0</v>
      </c>
      <c r="F52" s="85"/>
      <c r="G52" s="79">
        <f t="shared" si="3"/>
        <v>0</v>
      </c>
      <c r="H52" s="85"/>
      <c r="I52" s="81">
        <f t="shared" si="4"/>
        <v>0</v>
      </c>
      <c r="J52" s="76">
        <f>IF(C52=0,0,'Цены Жалюзи'!$S$333)</f>
        <v>0</v>
      </c>
      <c r="K52" s="76">
        <f>IF(E52=0,0,'Цены Жалюзи'!$S$333)</f>
        <v>0</v>
      </c>
      <c r="L52" s="76">
        <f>IF(G52=0,0,'Цены Жалюзи'!$S$333)</f>
        <v>0</v>
      </c>
      <c r="M52" s="76">
        <f>IF(I52=0,0,'Цены Жалюзи'!$S$333)</f>
        <v>0</v>
      </c>
      <c r="O52" s="9"/>
    </row>
    <row r="53" spans="1:15" ht="16.5" customHeight="1">
      <c r="A53" s="67" t="s">
        <v>53</v>
      </c>
      <c r="B53" s="84"/>
      <c r="C53" s="79">
        <f t="shared" si="5"/>
        <v>0</v>
      </c>
      <c r="D53" s="85"/>
      <c r="E53" s="79">
        <f t="shared" si="2"/>
        <v>0</v>
      </c>
      <c r="F53" s="85"/>
      <c r="G53" s="79">
        <f t="shared" si="3"/>
        <v>0</v>
      </c>
      <c r="H53" s="85"/>
      <c r="I53" s="81">
        <f t="shared" si="4"/>
        <v>0</v>
      </c>
      <c r="J53" s="76">
        <f>IF(C53=0,0,'Цены Жалюзи'!$S$334)</f>
        <v>0</v>
      </c>
      <c r="K53" s="76">
        <f>IF(E53=0,0,'Цены Жалюзи'!$S$334)</f>
        <v>0</v>
      </c>
      <c r="L53" s="76">
        <f>IF(G53=0,0,'Цены Жалюзи'!$S$334)</f>
        <v>0</v>
      </c>
      <c r="M53" s="76">
        <f>IF(I53=0,0,'Цены Жалюзи'!$S$334)</f>
        <v>0</v>
      </c>
      <c r="O53" s="9"/>
    </row>
    <row r="54" spans="1:15" ht="15.75" customHeight="1">
      <c r="A54" s="67" t="s">
        <v>55</v>
      </c>
      <c r="B54" s="84"/>
      <c r="C54" s="79">
        <f t="shared" si="5"/>
        <v>0</v>
      </c>
      <c r="D54" s="85"/>
      <c r="E54" s="79">
        <f t="shared" si="2"/>
        <v>0</v>
      </c>
      <c r="F54" s="85"/>
      <c r="G54" s="79">
        <f t="shared" si="3"/>
        <v>0</v>
      </c>
      <c r="H54" s="85"/>
      <c r="I54" s="81">
        <f t="shared" si="4"/>
        <v>0</v>
      </c>
      <c r="J54" s="76">
        <f>IF(C54=0,0,'Цены Жалюзи'!$S$335)</f>
        <v>0</v>
      </c>
      <c r="K54" s="76">
        <f>IF(E54=0,0,'Цены Жалюзи'!$S$335)</f>
        <v>0</v>
      </c>
      <c r="L54" s="76">
        <f>IF(G54=0,0,'Цены Жалюзи'!$S$335)</f>
        <v>0</v>
      </c>
      <c r="M54" s="76">
        <f>IF(I54=0,0,'Цены Жалюзи'!$S$335)</f>
        <v>0</v>
      </c>
      <c r="O54" s="10"/>
    </row>
    <row r="55" spans="1:15" ht="15.75" customHeight="1">
      <c r="A55" s="67" t="s">
        <v>58</v>
      </c>
      <c r="B55" s="84"/>
      <c r="C55" s="79">
        <f t="shared" si="5"/>
        <v>0</v>
      </c>
      <c r="D55" s="85"/>
      <c r="E55" s="79">
        <f t="shared" si="2"/>
        <v>0</v>
      </c>
      <c r="F55" s="85"/>
      <c r="G55" s="79">
        <f t="shared" si="3"/>
        <v>0</v>
      </c>
      <c r="H55" s="85"/>
      <c r="I55" s="81">
        <f t="shared" si="4"/>
        <v>0</v>
      </c>
      <c r="J55" s="76">
        <f>IF(C55=0,0,'Цены Жалюзи'!$S$336)</f>
        <v>0</v>
      </c>
      <c r="K55" s="76">
        <f>IF(E55=0,0,'Цены Жалюзи'!$S$336)</f>
        <v>0</v>
      </c>
      <c r="L55" s="76">
        <f>IF(G55=0,0,'Цены Жалюзи'!$S$336)</f>
        <v>0</v>
      </c>
      <c r="M55" s="76">
        <f>IF(I55=0,0,'Цены Жалюзи'!$S$336)</f>
        <v>0</v>
      </c>
      <c r="O55" s="11"/>
    </row>
    <row r="56" spans="1:15" ht="15.75" customHeight="1">
      <c r="A56" s="67" t="s">
        <v>60</v>
      </c>
      <c r="B56" s="84"/>
      <c r="C56" s="79">
        <f t="shared" si="5"/>
        <v>0</v>
      </c>
      <c r="D56" s="85"/>
      <c r="E56" s="79">
        <f t="shared" si="2"/>
        <v>0</v>
      </c>
      <c r="F56" s="85"/>
      <c r="G56" s="79">
        <f t="shared" si="3"/>
        <v>0</v>
      </c>
      <c r="H56" s="85"/>
      <c r="I56" s="81">
        <f t="shared" si="4"/>
        <v>0</v>
      </c>
      <c r="J56" s="76">
        <f>IF(C56=0,0,'Цены Жалюзи'!$S$337)</f>
        <v>0</v>
      </c>
      <c r="K56" s="76">
        <f>IF(E56=0,0,'Цены Жалюзи'!$S$337)</f>
        <v>0</v>
      </c>
      <c r="L56" s="76">
        <f>IF(G56=0,0,'Цены Жалюзи'!$S$337)</f>
        <v>0</v>
      </c>
      <c r="M56" s="76">
        <f>IF(I56=0,0,'Цены Жалюзи'!$S$337)</f>
        <v>0</v>
      </c>
      <c r="O56" s="13"/>
    </row>
    <row r="57" spans="1:15" ht="15.75" customHeight="1">
      <c r="A57" s="67" t="s">
        <v>63</v>
      </c>
      <c r="B57" s="84"/>
      <c r="C57" s="79">
        <f t="shared" si="5"/>
        <v>0</v>
      </c>
      <c r="D57" s="85"/>
      <c r="E57" s="79">
        <f t="shared" si="2"/>
        <v>0</v>
      </c>
      <c r="F57" s="85"/>
      <c r="G57" s="79">
        <f t="shared" si="3"/>
        <v>0</v>
      </c>
      <c r="H57" s="85"/>
      <c r="I57" s="81">
        <f t="shared" si="4"/>
        <v>0</v>
      </c>
      <c r="J57" s="76">
        <f>IF(C57=0,0,'Цены Жалюзи'!$S$338)</f>
        <v>0</v>
      </c>
      <c r="K57" s="76">
        <f>IF(E57=0,0,'Цены Жалюзи'!$S$338)</f>
        <v>0</v>
      </c>
      <c r="L57" s="76">
        <f>IF(G57=0,0,'Цены Жалюзи'!$S$338)</f>
        <v>0</v>
      </c>
      <c r="M57" s="76">
        <f>IF(I57=0,0,'Цены Жалюзи'!$S$338)</f>
        <v>0</v>
      </c>
      <c r="O57" s="13"/>
    </row>
    <row r="58" spans="1:15" ht="15.75" customHeight="1">
      <c r="A58" s="67" t="s">
        <v>64</v>
      </c>
      <c r="B58" s="84"/>
      <c r="C58" s="79">
        <f t="shared" si="5"/>
        <v>0</v>
      </c>
      <c r="D58" s="86"/>
      <c r="E58" s="79">
        <f t="shared" si="2"/>
        <v>0</v>
      </c>
      <c r="F58" s="85"/>
      <c r="G58" s="79">
        <f t="shared" si="3"/>
        <v>0</v>
      </c>
      <c r="H58" s="85"/>
      <c r="I58" s="81">
        <f t="shared" si="4"/>
        <v>0</v>
      </c>
      <c r="J58" s="76">
        <f>IF(C58=0,0,'Цены Жалюзи'!$S$339)</f>
        <v>0</v>
      </c>
      <c r="K58" s="76">
        <f>IF(E58=0,0,'Цены Жалюзи'!$S$339)</f>
        <v>0</v>
      </c>
      <c r="L58" s="76">
        <f>IF(G58=0,0,'Цены Жалюзи'!$S$339)</f>
        <v>0</v>
      </c>
      <c r="M58" s="76">
        <f>IF(I58=0,0,'Цены Жалюзи'!$S$339)</f>
        <v>0</v>
      </c>
      <c r="O58" s="13"/>
    </row>
    <row r="59" spans="1:15" ht="15.75" customHeight="1">
      <c r="A59" s="53" t="s">
        <v>70</v>
      </c>
      <c r="B59" s="87"/>
      <c r="C59" s="79">
        <f t="shared" si="5"/>
        <v>0</v>
      </c>
      <c r="D59" s="86"/>
      <c r="E59" s="79">
        <f t="shared" si="2"/>
        <v>0</v>
      </c>
      <c r="F59" s="86"/>
      <c r="G59" s="79">
        <f t="shared" si="3"/>
        <v>0</v>
      </c>
      <c r="H59" s="86"/>
      <c r="I59" s="81">
        <f t="shared" si="4"/>
        <v>0</v>
      </c>
      <c r="J59" s="76">
        <f>IF(C59=0,0,'Цены Жалюзи'!$S$340)</f>
        <v>0</v>
      </c>
      <c r="K59" s="76">
        <f>IF(E59=0,0,'Цены Жалюзи'!$S$340)</f>
        <v>0</v>
      </c>
      <c r="L59" s="76">
        <f>IF(G59=0,0,'Цены Жалюзи'!$S$340)</f>
        <v>0</v>
      </c>
      <c r="M59" s="76">
        <f>IF(I59=0,0,'Цены Жалюзи'!$S$340)</f>
        <v>0</v>
      </c>
      <c r="O59" s="13"/>
    </row>
    <row r="60" spans="1:15" ht="15.75" customHeight="1">
      <c r="A60" s="53" t="s">
        <v>77</v>
      </c>
      <c r="B60" s="87"/>
      <c r="C60" s="79">
        <f t="shared" si="5"/>
        <v>0</v>
      </c>
      <c r="D60" s="86"/>
      <c r="E60" s="79">
        <f t="shared" si="2"/>
        <v>0</v>
      </c>
      <c r="F60" s="86"/>
      <c r="G60" s="79">
        <f t="shared" si="3"/>
        <v>0</v>
      </c>
      <c r="H60" s="86"/>
      <c r="I60" s="81">
        <f t="shared" si="4"/>
        <v>0</v>
      </c>
      <c r="J60" s="76">
        <f>IF(C60=0,0,'Цены Жалюзи'!$S$341)</f>
        <v>0</v>
      </c>
      <c r="K60" s="76">
        <f>IF(E60=0,0,'Цены Жалюзи'!$S$341)</f>
        <v>0</v>
      </c>
      <c r="L60" s="76">
        <f>IF(G60=0,0,'Цены Жалюзи'!$S$341)</f>
        <v>0</v>
      </c>
      <c r="M60" s="76">
        <f>IF(I60=0,0,'Цены Жалюзи'!$S$341)</f>
        <v>0</v>
      </c>
      <c r="O60" s="13"/>
    </row>
    <row r="61" spans="1:15" ht="15.75" customHeight="1">
      <c r="A61" s="67" t="s">
        <v>79</v>
      </c>
      <c r="B61" s="87"/>
      <c r="C61" s="79">
        <f t="shared" si="5"/>
        <v>0</v>
      </c>
      <c r="D61" s="86"/>
      <c r="E61" s="79">
        <f t="shared" si="2"/>
        <v>0</v>
      </c>
      <c r="F61" s="86"/>
      <c r="G61" s="79">
        <f t="shared" si="3"/>
        <v>0</v>
      </c>
      <c r="H61" s="86"/>
      <c r="I61" s="81">
        <f t="shared" si="4"/>
        <v>0</v>
      </c>
      <c r="J61" s="76">
        <f>IF(C61=0,0,'Цены Жалюзи'!$S$342)</f>
        <v>0</v>
      </c>
      <c r="K61" s="76">
        <f>IF(E61=0,0,'Цены Жалюзи'!$S$342)</f>
        <v>0</v>
      </c>
      <c r="L61" s="76">
        <f>IF(G61=0,0,'Цены Жалюзи'!$S$342)</f>
        <v>0</v>
      </c>
      <c r="M61" s="76">
        <f>IF(I61=0,0,'Цены Жалюзи'!$S$342)</f>
        <v>0</v>
      </c>
      <c r="O61" s="13"/>
    </row>
    <row r="62" spans="1:15" ht="16.5" customHeight="1">
      <c r="A62" s="101" t="s">
        <v>82</v>
      </c>
      <c r="B62" s="101"/>
      <c r="C62" s="102"/>
      <c r="D62" s="103"/>
      <c r="E62" s="104"/>
      <c r="F62" s="103"/>
      <c r="G62" s="104"/>
      <c r="H62" s="103"/>
      <c r="I62" s="105"/>
      <c r="J62" s="75"/>
      <c r="K62" s="75"/>
      <c r="L62" s="75"/>
      <c r="M62" s="75"/>
      <c r="O62" s="13"/>
    </row>
    <row r="63" spans="1:15" ht="16.5" customHeight="1">
      <c r="A63" s="67" t="s">
        <v>290</v>
      </c>
      <c r="B63" s="78" t="str">
        <f>IF(C63=0,"-",VLOOKUP(B12,Данные!$A$193:$S$198,3,FALSE))</f>
        <v>-</v>
      </c>
      <c r="C63" s="79">
        <f>VLOOKUP(B12,Данные!$A$193:$S$198,2,FALSE)</f>
        <v>0</v>
      </c>
      <c r="D63" s="80" t="str">
        <f>IF(E63=0,"-",VLOOKUP(D12,Данные!$A$193:$S$198,3,FALSE))</f>
        <v>-</v>
      </c>
      <c r="E63" s="79">
        <f>VLOOKUP(D12,Данные!$A$193:$S$198,2,FALSE)</f>
        <v>0</v>
      </c>
      <c r="F63" s="80" t="str">
        <f>IF(G63=0,"-",VLOOKUP(F12,Данные!$A$193:$S$198,3,FALSE))</f>
        <v>-</v>
      </c>
      <c r="G63" s="79">
        <f>VLOOKUP(F12,Данные!$A$193:$S$198,2,FALSE)</f>
        <v>0</v>
      </c>
      <c r="H63" s="80" t="str">
        <f>IF(I63=0,"-",VLOOKUP(H12,Данные!$A$193:$S$198,3,FALSE))</f>
        <v>-</v>
      </c>
      <c r="I63" s="81">
        <f>VLOOKUP(H12,Данные!$A$193:$S$198,2,FALSE)</f>
        <v>0</v>
      </c>
      <c r="J63" s="180">
        <f>IF(C63=0,0,VLOOKUP($A$17,'Цены Жалюзи'!$B$286:$P$310,2,FALSE)*B63*C63)</f>
        <v>0</v>
      </c>
      <c r="K63" s="76">
        <f>IF(E63=0,0,VLOOKUP($A$17,'Цены Жалюзи'!$B$286:$P$310,2,FALSE)*D63*E63)</f>
        <v>0</v>
      </c>
      <c r="L63" s="76">
        <f>IF(G63=0,0,VLOOKUP($A$17,'Цены Жалюзи'!$B$286:$P$310,2,FALSE)*F63*G63)</f>
        <v>0</v>
      </c>
      <c r="M63" s="76">
        <f>IF(I63=0,0,VLOOKUP($A$17,'Цены Жалюзи'!$B$286:$P$310,2,FALSE)*H63*I63)</f>
        <v>0</v>
      </c>
      <c r="O63" s="13"/>
    </row>
    <row r="64" spans="1:15" ht="16.5" customHeight="1">
      <c r="A64" s="67" t="s">
        <v>337</v>
      </c>
      <c r="B64" s="78" t="str">
        <f>IF(C64=0,"-",VLOOKUP(B12,Данные!$A$193:$S$198,5,FALSE))</f>
        <v>-</v>
      </c>
      <c r="C64" s="79">
        <f>VLOOKUP(B12,Данные!$A$193:$S$198,4,FALSE)</f>
        <v>0</v>
      </c>
      <c r="D64" s="80" t="str">
        <f>IF(E64=0,"-",VLOOKUP(D12,Данные!$A$193:$S$198,5,FALSE))</f>
        <v>-</v>
      </c>
      <c r="E64" s="79">
        <f>VLOOKUP(D12,Данные!$A$193:$S$198,4,FALSE)</f>
        <v>0</v>
      </c>
      <c r="F64" s="80" t="str">
        <f>IF(G64=0,"-",VLOOKUP(F12,Данные!$A$193:$S$198,5,FALSE))</f>
        <v>-</v>
      </c>
      <c r="G64" s="79">
        <f>VLOOKUP(F12,Данные!$A$193:$S$198,4,FALSE)</f>
        <v>0</v>
      </c>
      <c r="H64" s="80" t="str">
        <f>IF(I64=0,"-",VLOOKUP(H12,Данные!$A$193:$S$198,5,FALSE))</f>
        <v>-</v>
      </c>
      <c r="I64" s="81">
        <f>VLOOKUP(H12,Данные!$A$193:$S$198,4,FALSE)</f>
        <v>0</v>
      </c>
      <c r="J64" s="180">
        <f>IF(C64=0,0,VLOOKUP($A$17,'Цены Жалюзи'!$B$286:$P$310,3,FALSE)*B64*C64)</f>
        <v>0</v>
      </c>
      <c r="K64" s="76">
        <f>IF(E64=0,0,VLOOKUP($A$17,'Цены Жалюзи'!$B$286:$P$310,3,FALSE)*D64*E64)</f>
        <v>0</v>
      </c>
      <c r="L64" s="76">
        <f>IF(G64=0,0,VLOOKUP($A$17,'Цены Жалюзи'!$B$286:$P$310,3,FALSE)*F64*G64)</f>
        <v>0</v>
      </c>
      <c r="M64" s="76">
        <f>IF(I64=0,0,VLOOKUP($A$17,'Цены Жалюзи'!$B$286:$P$310,3,FALSE)*H64*I64)</f>
        <v>0</v>
      </c>
      <c r="O64" s="13"/>
    </row>
    <row r="65" spans="1:15" ht="16.5" customHeight="1">
      <c r="A65" s="67" t="s">
        <v>313</v>
      </c>
      <c r="B65" s="78">
        <f>VLOOKUP(B12,Данные!$A$193:$S$198,7,FALSE)</f>
        <v>0</v>
      </c>
      <c r="C65" s="79">
        <f>VLOOKUP(B12,Данные!$A$193:$S$198,6,FALSE)</f>
        <v>0</v>
      </c>
      <c r="D65" s="80">
        <f>VLOOKUP(D12,Данные!$A$193:$S$198,7,FALSE)</f>
        <v>0</v>
      </c>
      <c r="E65" s="79">
        <f>VLOOKUP(D12,Данные!$A$193:$S$198,6,FALSE)</f>
        <v>0</v>
      </c>
      <c r="F65" s="80">
        <f>VLOOKUP(F12,Данные!$A$193:$S$198,7,FALSE)</f>
        <v>0</v>
      </c>
      <c r="G65" s="79">
        <f>VLOOKUP(F12,Данные!$A$193:$S$198,6,FALSE)</f>
        <v>0</v>
      </c>
      <c r="H65" s="80">
        <f>VLOOKUP(H12,Данные!$A$193:$S$198,7,FALSE)</f>
        <v>0</v>
      </c>
      <c r="I65" s="81">
        <f>VLOOKUP(H12,Данные!$A$193:$S$198,6,FALSE)</f>
        <v>0</v>
      </c>
      <c r="J65" s="76">
        <f>IF(C65=0,0,VLOOKUP($A$17,'Цены Жалюзи'!$B$286:$P$310,5,FALSE)*B65*C65)</f>
        <v>0</v>
      </c>
      <c r="K65" s="76">
        <f>IF(E65=0,0,VLOOKUP($A$17,'Цены Жалюзи'!$B$286:$P$310,5,FALSE)*D65*E65)</f>
        <v>0</v>
      </c>
      <c r="L65" s="76">
        <f>IF(G65=0,0,VLOOKUP($A$17,'Цены Жалюзи'!$B$286:$P$310,5,FALSE)*F65*G65)</f>
        <v>0</v>
      </c>
      <c r="M65" s="76">
        <f>IF(I65=0,0,VLOOKUP($A$17,'Цены Жалюзи'!$B$286:$P$310,5,FALSE)*H65*I65)</f>
        <v>0</v>
      </c>
      <c r="O65" s="13"/>
    </row>
    <row r="66" spans="1:15" ht="16.5" customHeight="1">
      <c r="A66" s="67" t="s">
        <v>338</v>
      </c>
      <c r="B66" s="78">
        <f>VLOOKUP(B12,Данные!$A$193:$S$198,9,FALSE)</f>
        <v>0</v>
      </c>
      <c r="C66" s="79">
        <f>VLOOKUP(B12,Данные!$A$193:$S$198,8,FALSE)</f>
        <v>0</v>
      </c>
      <c r="D66" s="80">
        <f>VLOOKUP(D12,Данные!$A$193:$S$198,9,FALSE)</f>
        <v>0</v>
      </c>
      <c r="E66" s="79">
        <f>VLOOKUP(D12,Данные!$A$193:$S$198,8,FALSE)</f>
        <v>0</v>
      </c>
      <c r="F66" s="80">
        <f>VLOOKUP(F12,Данные!$A$193:$S$198,9,FALSE)</f>
        <v>0</v>
      </c>
      <c r="G66" s="79">
        <f>VLOOKUP(F12,Данные!$A$193:$S$198,8,FALSE)</f>
        <v>0</v>
      </c>
      <c r="H66" s="80">
        <f>VLOOKUP(H12,Данные!$A$193:$S$198,9,FALSE)</f>
        <v>0</v>
      </c>
      <c r="I66" s="81">
        <f>VLOOKUP(H12,Данные!$A$193:$S$198,8,FALSE)</f>
        <v>0</v>
      </c>
      <c r="J66" s="76">
        <f>IF(C66=0,0,IF(OR($A$17="Цинк 0,5",$A$17="Цинк 0,55"),C66*VLOOKUP($A$17,'Цены Жалюзи'!$B$286:$P$310,7,FALSE),C66*VLOOKUP($A$17,'Цены Жалюзи'!$B$286:$P$310,7,FALSE)))</f>
        <v>0</v>
      </c>
      <c r="K66" s="76">
        <f>IF(E66=0,0,IF(OR($A$17="Цинк 0,5",$A$17="Цинк 0,55"),E66*VLOOKUP($A$17,'Цены Жалюзи'!$B$286:$P$310,7,FALSE),E66*VLOOKUP($A$17,'Цены Жалюзи'!$B$286:$P$310,7,FALSE)))</f>
        <v>0</v>
      </c>
      <c r="L66" s="76">
        <f>IF(G66=0,0,IF(OR($A$17="Цинк 0,5",$A$17="Цинк 0,55"),G66*VLOOKUP($A$17,'Цены Жалюзи'!$B$286:$P$310,7,FALSE),G66*VLOOKUP($A$17,'Цены Жалюзи'!$B$286:$P$310,7,FALSE)))</f>
        <v>0</v>
      </c>
      <c r="M66" s="76">
        <f>IF(I66=0,0,IF(OR($A$17="Цинк 0,5",$A$17="Цинк 0,55"),I66*VLOOKUP($A$17,'Цены Жалюзи'!$B$286:$P$310,7,FALSE),I66*VLOOKUP($A$17,'Цены Жалюзи'!$B$286:$P$310,7,FALSE)))</f>
        <v>0</v>
      </c>
      <c r="O66" s="13"/>
    </row>
    <row r="67" spans="1:15" ht="16.5" customHeight="1">
      <c r="A67" s="67" t="s">
        <v>335</v>
      </c>
      <c r="B67" s="78">
        <f>VLOOKUP(B12,Данные!$A$193:$S$198,11,FALSE)</f>
        <v>0</v>
      </c>
      <c r="C67" s="79">
        <f>VLOOKUP(B12,Данные!$A$193:$S$198,10,FALSE)</f>
        <v>0</v>
      </c>
      <c r="D67" s="80">
        <f>VLOOKUP(D12,Данные!$A$193:$S$198,11,FALSE)</f>
        <v>0</v>
      </c>
      <c r="E67" s="79">
        <f>VLOOKUP(D12,Данные!$A$193:$S$198,10,FALSE)</f>
        <v>0</v>
      </c>
      <c r="F67" s="80">
        <f>VLOOKUP(F12,Данные!$A$193:$S$198,11,FALSE)</f>
        <v>0</v>
      </c>
      <c r="G67" s="79">
        <f>VLOOKUP(F12,Данные!$A$193:$S$198,10,FALSE)</f>
        <v>0</v>
      </c>
      <c r="H67" s="80">
        <f>VLOOKUP(H12,Данные!$A$193:$S$198,11,FALSE)</f>
        <v>0</v>
      </c>
      <c r="I67" s="81">
        <f>VLOOKUP(H12,Данные!$A$193:$S$198,10,FALSE)</f>
        <v>0</v>
      </c>
      <c r="J67" s="76">
        <f>IF(C67=0,0,IF(OR($A$17="Цинк 0,5",$A$17="Цинк 0,55"),C67*VLOOKUP($A$17,'Цены Жалюзи'!$B$286:$P$310,6,FALSE),C67*VLOOKUP($A$17,'Цены Жалюзи'!$B$286:$P$310,6,FALSE)))</f>
        <v>0</v>
      </c>
      <c r="K67" s="76">
        <f>IF(E67=0,0,IF(OR($A$17="Цинк 0,5",$A$17="Цинк 0,55"),E67*VLOOKUP($A$17,'Цены Жалюзи'!$B$286:$P$310,6,FALSE),E67*VLOOKUP($A$17,'Цены Жалюзи'!$B$286:$P$310,6,FALSE)))</f>
        <v>0</v>
      </c>
      <c r="L67" s="76">
        <f>IF(G67=0,0,IF(OR($A$17="Цинк 0,5",$A$17="Цинк 0,55"),G67*VLOOKUP($A$17,'Цены Жалюзи'!$B$286:$P$310,6,FALSE),G67*VLOOKUP($A$17,'Цены Жалюзи'!$B$286:$P$310,6,FALSE)))</f>
        <v>0</v>
      </c>
      <c r="M67" s="76">
        <f>IF(I67=0,0,IF(OR($A$17="Цинк 0,5",$A$17="Цинк 0,55"),I67*VLOOKUP($A$17,'Цены Жалюзи'!$B$286:$P$310,6,FALSE),I67*VLOOKUP($A$17,'Цены Жалюзи'!$B$286:$P$310,6,FALSE)))</f>
        <v>0</v>
      </c>
      <c r="O67" s="13"/>
    </row>
    <row r="68" spans="1:15" ht="16.5" customHeight="1">
      <c r="A68" s="90" t="s">
        <v>294</v>
      </c>
      <c r="B68" s="78">
        <f>VLOOKUP(B12,Данные!$A$193:$S$198,13,FALSE)</f>
        <v>0</v>
      </c>
      <c r="C68" s="79">
        <f>VLOOKUP(B12,Данные!$A$193:$S$198,12,FALSE)</f>
        <v>0</v>
      </c>
      <c r="D68" s="80">
        <f>VLOOKUP(D12,Данные!$A$193:$S$198,13,FALSE)</f>
        <v>0</v>
      </c>
      <c r="E68" s="79">
        <f>VLOOKUP(D12,Данные!$A$193:$S$198,12,FALSE)</f>
        <v>0</v>
      </c>
      <c r="F68" s="80">
        <f>VLOOKUP(F12,Данные!$A$193:$S$198,13,FALSE)</f>
        <v>0</v>
      </c>
      <c r="G68" s="79">
        <f>VLOOKUP(F12,Данные!$A$193:$S$198,12,FALSE)</f>
        <v>0</v>
      </c>
      <c r="H68" s="80">
        <f>VLOOKUP(H12,Данные!$A$193:$S$198,13,FALSE)</f>
        <v>0</v>
      </c>
      <c r="I68" s="81">
        <f>VLOOKUP(H12,Данные!$A$193:$S$198,12,FALSE)</f>
        <v>0</v>
      </c>
      <c r="J68" s="76">
        <f>IF(C68=0,0,VLOOKUP($A$17,'Цены Жалюзи'!$B$286:$P$310,8,FALSE)*C68)</f>
        <v>0</v>
      </c>
      <c r="K68" s="76">
        <f>IF(E68=0,0,VLOOKUP($A$17,'Цены Жалюзи'!$B$286:$P$310,8,FALSE)*E68)</f>
        <v>0</v>
      </c>
      <c r="L68" s="76">
        <f>IF(G68=0,0,VLOOKUP($A$17,'Цены Жалюзи'!$B$286:$P$310,8,FALSE)*G68)</f>
        <v>0</v>
      </c>
      <c r="M68" s="76">
        <f>IF(I68=0,0,VLOOKUP($A$17,'Цены Жалюзи'!$B$286:$P$310,8,FALSE)*I68)</f>
        <v>0</v>
      </c>
      <c r="O68" s="13"/>
    </row>
    <row r="69" spans="1:15" ht="16.5" customHeight="1">
      <c r="A69" s="2" t="s">
        <v>295</v>
      </c>
      <c r="B69" s="78">
        <f>VLOOKUP(B12,Данные!$A$193:$S$198,15,FALSE)</f>
        <v>0</v>
      </c>
      <c r="C69" s="79">
        <f>VLOOKUP(B12,Данные!$A$193:$S$198,14,FALSE)</f>
        <v>0</v>
      </c>
      <c r="D69" s="80">
        <f>VLOOKUP(D12,Данные!$A$193:$S$198,15,FALSE)</f>
        <v>0</v>
      </c>
      <c r="E69" s="79">
        <f>VLOOKUP(D12,Данные!$A$193:$S$198,14,FALSE)</f>
        <v>0</v>
      </c>
      <c r="F69" s="80">
        <f>VLOOKUP(F12,Данные!$A$193:$S$198,15,FALSE)</f>
        <v>0</v>
      </c>
      <c r="G69" s="79">
        <f>VLOOKUP(F12,Данные!$A$193:$S$198,14,FALSE)</f>
        <v>0</v>
      </c>
      <c r="H69" s="80">
        <f>VLOOKUP(H12,Данные!$A$193:$S$198,15,FALSE)</f>
        <v>0</v>
      </c>
      <c r="I69" s="81">
        <f>VLOOKUP(H12,Данные!$A$193:$S$198,14,FALSE)</f>
        <v>0</v>
      </c>
      <c r="J69" s="76">
        <f>IF(C69=0,0,VLOOKUP($A$17,'Цены Жалюзи'!$B$286:$P$310,9,FALSE)*C69)</f>
        <v>0</v>
      </c>
      <c r="K69" s="76">
        <f>IF(E69=0,0,VLOOKUP($A$17,'Цены Жалюзи'!$B$286:$P$310,9,FALSE)*E69)</f>
        <v>0</v>
      </c>
      <c r="L69" s="76">
        <f>IF(G69=0,0,VLOOKUP($A$17,'Цены Жалюзи'!$B$286:$P$310,9,FALSE)*G69)</f>
        <v>0</v>
      </c>
      <c r="M69" s="76">
        <f>IF(I69=0,0,VLOOKUP($A$17,'Цены Жалюзи'!$B$286:$P$310,9,FALSE)*I69)</f>
        <v>0</v>
      </c>
      <c r="O69" s="13"/>
    </row>
    <row r="70" spans="1:15" ht="16.5" customHeight="1">
      <c r="A70" s="53" t="s">
        <v>94</v>
      </c>
      <c r="B70" s="78" t="s">
        <v>28</v>
      </c>
      <c r="C70" s="79">
        <f>VLOOKUP(B12,Данные!$A$193:$S$198,17,FALSE)</f>
        <v>0</v>
      </c>
      <c r="D70" s="80" t="s">
        <v>28</v>
      </c>
      <c r="E70" s="79">
        <f>VLOOKUP(D12,Данные!$A$193:$S$198,17,FALSE)</f>
        <v>0</v>
      </c>
      <c r="F70" s="80" t="s">
        <v>28</v>
      </c>
      <c r="G70" s="79">
        <f>VLOOKUP(F12,Данные!$A$193:$S$198,17,FALSE)</f>
        <v>0</v>
      </c>
      <c r="H70" s="80" t="s">
        <v>28</v>
      </c>
      <c r="I70" s="81">
        <f>VLOOKUP(H12,Данные!$A$193:$S$198,17,FALSE)</f>
        <v>0</v>
      </c>
      <c r="J70" s="76">
        <f>IF(C70=0,0,VLOOKUP($A$17,'Цены Жалюзи'!$B$286:$P$310,16,FALSE)*C70)</f>
        <v>0</v>
      </c>
      <c r="K70" s="76">
        <f>IF(E70=0,0,VLOOKUP($A$17,'Цены Жалюзи'!$B$286:$P$310,16,FALSE)*E70)</f>
        <v>0</v>
      </c>
      <c r="L70" s="76">
        <f>IF(G70=0,0,VLOOKUP($A$17,'Цены Жалюзи'!$B$286:$P$310,16,FALSE)*G70)</f>
        <v>0</v>
      </c>
      <c r="M70" s="76">
        <f>IF(I70=0,0,VLOOKUP($A$17,'Цены Жалюзи'!$B$286:$P$310,16,FALSE)*I70)</f>
        <v>0</v>
      </c>
      <c r="O70" s="13"/>
    </row>
    <row r="71" spans="1:15" ht="16.5" customHeight="1">
      <c r="A71" s="53" t="s">
        <v>97</v>
      </c>
      <c r="B71" s="78" t="s">
        <v>28</v>
      </c>
      <c r="C71" s="79">
        <f>VLOOKUP(B12,Данные!$A$193:$S$198,18,FALSE)</f>
        <v>0</v>
      </c>
      <c r="D71" s="80" t="s">
        <v>28</v>
      </c>
      <c r="E71" s="79">
        <f>VLOOKUP(D12,Данные!$A$193:$S$198,18,FALSE)</f>
        <v>0</v>
      </c>
      <c r="F71" s="80" t="s">
        <v>28</v>
      </c>
      <c r="G71" s="79">
        <f>VLOOKUP(F12,Данные!$A$193:$S$198,18,FALSE)</f>
        <v>0</v>
      </c>
      <c r="H71" s="80" t="s">
        <v>28</v>
      </c>
      <c r="I71" s="81">
        <f>VLOOKUP(H12,Данные!$A$193:$S$198,18,FALSE)</f>
        <v>0</v>
      </c>
      <c r="J71" s="76">
        <f>IF(C71=0,0,VLOOKUP($A$17,'Цены Жалюзи'!$B$286:$P$310,17,FALSE)*C71)</f>
        <v>0</v>
      </c>
      <c r="K71" s="76">
        <f>IF(E71=0,0,VLOOKUP($A$17,'Цены Жалюзи'!$B$286:$P$310,17,FALSE)*E71)</f>
        <v>0</v>
      </c>
      <c r="L71" s="76">
        <f>IF(G71=0,0,VLOOKUP($A$17,'Цены Жалюзи'!$B$286:$P$310,17,FALSE)*G71)</f>
        <v>0</v>
      </c>
      <c r="M71" s="76">
        <f>IF(I71=0,0,VLOOKUP($A$17,'Цены Жалюзи'!$B$286:$P$310,17,FALSE)*I71)</f>
        <v>0</v>
      </c>
      <c r="O71" s="13"/>
    </row>
    <row r="72" spans="1:15" ht="16.5" customHeight="1">
      <c r="A72" s="53" t="s">
        <v>343</v>
      </c>
      <c r="B72" s="78" t="s">
        <v>28</v>
      </c>
      <c r="C72" s="79">
        <f>VLOOKUP(B12,Данные!$A$193:$S$198,19,FALSE)</f>
        <v>0</v>
      </c>
      <c r="D72" s="80" t="s">
        <v>28</v>
      </c>
      <c r="E72" s="79">
        <f>VLOOKUP(D12,Данные!$A$193:$S$198,19,FALSE)</f>
        <v>0</v>
      </c>
      <c r="F72" s="80" t="s">
        <v>28</v>
      </c>
      <c r="G72" s="79">
        <f>VLOOKUP(F12,Данные!$A$193:$S$198,19,FALSE)</f>
        <v>0</v>
      </c>
      <c r="H72" s="80" t="s">
        <v>28</v>
      </c>
      <c r="I72" s="81">
        <f>VLOOKUP(H12,Данные!$A$193:$S$198,19,FALSE)</f>
        <v>0</v>
      </c>
      <c r="J72" s="76">
        <f>IF(C72=0,0,VLOOKUP($A$17,'Цены Жалюзи'!$B$286:$P$310,18,FALSE)*C72)</f>
        <v>0</v>
      </c>
      <c r="K72" s="76">
        <f>IF(E72=0,0,VLOOKUP($A$17,'Цены Жалюзи'!$B$286:$P$310,18,FALSE)*E72)</f>
        <v>0</v>
      </c>
      <c r="L72" s="76">
        <f>IF(G72=0,0,VLOOKUP($A$17,'Цены Жалюзи'!$B$286:$P$310,18,FALSE)*G72)</f>
        <v>0</v>
      </c>
      <c r="M72" s="76">
        <f>IF(I72=0,0,VLOOKUP($A$17,'Цены Жалюзи'!$B$286:$P$310,18,FALSE)*I72)</f>
        <v>0</v>
      </c>
      <c r="O72" s="13"/>
    </row>
    <row r="73" spans="1:15" ht="16.5" customHeight="1">
      <c r="A73" s="67" t="s">
        <v>34</v>
      </c>
      <c r="B73" s="118" t="s">
        <v>308</v>
      </c>
      <c r="C73" s="79">
        <f>VLOOKUP(B12,Данные!$A$193:$S$198,16,FALSE)</f>
        <v>0</v>
      </c>
      <c r="D73" s="118" t="s">
        <v>308</v>
      </c>
      <c r="E73" s="79">
        <f>VLOOKUP(D12,Данные!$A$193:$S$198,16,FALSE)</f>
        <v>0</v>
      </c>
      <c r="F73" s="118" t="s">
        <v>308</v>
      </c>
      <c r="G73" s="79">
        <f>VLOOKUP(F12,Данные!$A$193:$S$198,16,FALSE)</f>
        <v>0</v>
      </c>
      <c r="H73" s="118" t="s">
        <v>308</v>
      </c>
      <c r="I73" s="81">
        <f>VLOOKUP(H12,Данные!$A$193:$S$198,16,FALSE)</f>
        <v>0</v>
      </c>
      <c r="J73" s="183">
        <f>IF(C73=0,0,IF(OR($A$17="Цинк 0,5",$A$17="Цинк 0,55"),C73*'Цены Жалюзи'!$D$326,C73*'Цены Жалюзи'!$D$326))</f>
        <v>0</v>
      </c>
      <c r="K73" s="183">
        <f>IF(E73=0,0,IF(OR($A$17="Цинк 0,5",$A$17="Цинк 0,55"),E73*'Цены Жалюзи'!$D$326,E73*'Цены Жалюзи'!$D$326))</f>
        <v>0</v>
      </c>
      <c r="L73" s="183">
        <f>IF(G73=0,0,IF(OR($A$17="Цинк 0,5",$A$17="Цинк 0,55"),G73*'Цены Жалюзи'!$D$326,G73*'Цены Жалюзи'!$D$326))</f>
        <v>0</v>
      </c>
      <c r="M73" s="183">
        <f>IF(I73=0,0,IF(OR($A$17="Цинк 0,5",$A$17="Цинк 0,55"),I73*'Цены Жалюзи'!$D$326,I73*'Цены Жалюзи'!$D$326))</f>
        <v>0</v>
      </c>
      <c r="O73" s="13"/>
    </row>
    <row r="74" spans="1:15" ht="18.75" customHeight="1">
      <c r="A74" s="101" t="s">
        <v>99</v>
      </c>
      <c r="B74" s="101"/>
      <c r="C74" s="102"/>
      <c r="D74" s="103"/>
      <c r="E74" s="104"/>
      <c r="F74" s="103"/>
      <c r="G74" s="104"/>
      <c r="H74" s="103"/>
      <c r="I74" s="105"/>
      <c r="J74" s="75"/>
      <c r="K74" s="75"/>
      <c r="L74" s="75"/>
      <c r="M74" s="75"/>
      <c r="O74" s="13"/>
    </row>
    <row r="75" spans="1:15" ht="16.5" customHeight="1">
      <c r="A75" s="67" t="s">
        <v>290</v>
      </c>
      <c r="B75" s="78" t="str">
        <f>IF(C75=0,"-",VLOOKUP(B13,Данные!$A$200:$S$216,3,FALSE))</f>
        <v>-</v>
      </c>
      <c r="C75" s="79">
        <f>VLOOKUP(B13,Данные!$A$200:$S$216,2,FALSE)</f>
        <v>0</v>
      </c>
      <c r="D75" s="80" t="str">
        <f>IF(E75=0,"-",VLOOKUP(D13,Данные!$A$200:$S$216,3,FALSE))</f>
        <v>-</v>
      </c>
      <c r="E75" s="79">
        <f>VLOOKUP(D13,Данные!$A$200:$S$216,2,FALSE)</f>
        <v>0</v>
      </c>
      <c r="F75" s="80" t="str">
        <f>IF(G75=0,"-",VLOOKUP(F13,Данные!$A$200:$S$216,3,FALSE))</f>
        <v>-</v>
      </c>
      <c r="G75" s="79">
        <f>VLOOKUP(F13,Данные!$A$200:$S$216,2,FALSE)</f>
        <v>0</v>
      </c>
      <c r="H75" s="80" t="str">
        <f>IF(I75=0,"-",VLOOKUP(H13,Данные!$A$200:$S$216,3,FALSE))</f>
        <v>-</v>
      </c>
      <c r="I75" s="81">
        <f>VLOOKUP(H13,Данные!$A$200:$S$216,2,FALSE)</f>
        <v>0</v>
      </c>
      <c r="J75" s="180">
        <f>IF(C75=0,0,VLOOKUP($A$17,'Цены Жалюзи'!$B$286:$P$310,2,FALSE)*B75*C75)</f>
        <v>0</v>
      </c>
      <c r="K75" s="76">
        <f>IF(E75=0,0,VLOOKUP($A$17,'Цены Жалюзи'!$B$286:$P$310,2,FALSE)*D75*E75)</f>
        <v>0</v>
      </c>
      <c r="L75" s="76">
        <f>IF(G75=0,0,VLOOKUP($A$17,'Цены Жалюзи'!$B$286:$P$310,2,FALSE)*F75*G75)</f>
        <v>0</v>
      </c>
      <c r="M75" s="76">
        <f>IF(I75=0,0,VLOOKUP($A$17,'Цены Жалюзи'!$B$286:$P$310,2,FALSE)*H75*I75)</f>
        <v>0</v>
      </c>
      <c r="O75" s="13"/>
    </row>
    <row r="76" spans="1:15" ht="16.5" customHeight="1">
      <c r="A76" s="67" t="s">
        <v>337</v>
      </c>
      <c r="B76" s="78" t="str">
        <f>IF(C76=0,"-",VLOOKUP(B13,Данные!$A$200:$S$216,5,FALSE))</f>
        <v>-</v>
      </c>
      <c r="C76" s="79">
        <f>VLOOKUP(B13,Данные!$A$200:$S$216,4,FALSE)</f>
        <v>0</v>
      </c>
      <c r="D76" s="80" t="str">
        <f>IF(E76=0,"-",VLOOKUP(D13,Данные!$A$200:$S$216,5,FALSE))</f>
        <v>-</v>
      </c>
      <c r="E76" s="79">
        <f>VLOOKUP(D13,Данные!$A$200:$S$216,4,FALSE)</f>
        <v>0</v>
      </c>
      <c r="F76" s="80" t="str">
        <f>IF(G76=0,"-",VLOOKUP(F13,Данные!$A$200:$S$216,5,FALSE))</f>
        <v>-</v>
      </c>
      <c r="G76" s="79">
        <f>VLOOKUP(F13,Данные!$A$200:$S$216,4,FALSE)</f>
        <v>0</v>
      </c>
      <c r="H76" s="80" t="str">
        <f>IF(I76=0,"-",VLOOKUP(H13,Данные!$A$200:$S$216,5,FALSE))</f>
        <v>-</v>
      </c>
      <c r="I76" s="81">
        <f>VLOOKUP(H13,Данные!$A$200:$S$216,4,FALSE)</f>
        <v>0</v>
      </c>
      <c r="J76" s="180">
        <f>IF(C76=0,0,VLOOKUP($A$17,'Цены Жалюзи'!$B$286:$P$310,3,FALSE)*B76*C76)</f>
        <v>0</v>
      </c>
      <c r="K76" s="76">
        <f>IF(E76=0,0,VLOOKUP($A$17,'Цены Жалюзи'!$B$286:$P$310,3,FALSE)*D76*E76)</f>
        <v>0</v>
      </c>
      <c r="L76" s="76">
        <f>IF(G76=0,0,VLOOKUP($A$17,'Цены Жалюзи'!$B$286:$P$310,3,FALSE)*F76*G76)</f>
        <v>0</v>
      </c>
      <c r="M76" s="76">
        <f>IF(I76=0,0,VLOOKUP($A$17,'Цены Жалюзи'!$B$286:$P$310,3,FALSE)*H76*I76)</f>
        <v>0</v>
      </c>
      <c r="O76" s="13"/>
    </row>
    <row r="77" spans="1:34" ht="16.5" customHeight="1">
      <c r="A77" s="67" t="s">
        <v>313</v>
      </c>
      <c r="B77" s="78">
        <f>VLOOKUP(B13,Данные!$A$200:$S$216,7,FALSE)</f>
        <v>0</v>
      </c>
      <c r="C77" s="79">
        <f>VLOOKUP(B13,Данные!$A$200:$S$216,6,FALSE)</f>
        <v>0</v>
      </c>
      <c r="D77" s="80">
        <f>VLOOKUP(D13,Данные!$A$200:$S$216,7,FALSE)</f>
        <v>0</v>
      </c>
      <c r="E77" s="79">
        <f>VLOOKUP(D13,Данные!$A$200:$S$216,6,FALSE)</f>
        <v>0</v>
      </c>
      <c r="F77" s="80">
        <f>VLOOKUP(F13,Данные!$A$200:$S$216,7,FALSE)</f>
        <v>0</v>
      </c>
      <c r="G77" s="79">
        <f>VLOOKUP(F13,Данные!$A$200:$S$216,6,FALSE)</f>
        <v>0</v>
      </c>
      <c r="H77" s="80">
        <f>VLOOKUP(H13,Данные!$A$200:$S$216,7,FALSE)</f>
        <v>0</v>
      </c>
      <c r="I77" s="81">
        <f>VLOOKUP(H13,Данные!$A$200:$S$216,6,FALSE)</f>
        <v>0</v>
      </c>
      <c r="J77" s="76">
        <f>IF(C77=0,0,VLOOKUP($A$17,'Цены Жалюзи'!$B$286:$P$310,5,FALSE)*B77*C77)</f>
        <v>0</v>
      </c>
      <c r="K77" s="76">
        <f>IF(E77=0,0,VLOOKUP($A$17,'Цены Жалюзи'!$B$286:$P$310,5,FALSE)*D77*E77)</f>
        <v>0</v>
      </c>
      <c r="L77" s="76">
        <f>IF(G77=0,0,VLOOKUP($A$17,'Цены Жалюзи'!$B$286:$P$310,5,FALSE)*F77*G77)</f>
        <v>0</v>
      </c>
      <c r="M77" s="76">
        <f>IF(I77=0,0,VLOOKUP($A$17,'Цены Жалюзи'!$B$286:$P$310,5,FALSE)*H77*I77)</f>
        <v>0</v>
      </c>
      <c r="O77" s="13"/>
      <c r="V77" s="14"/>
      <c r="W77" s="6"/>
      <c r="X77" s="6"/>
      <c r="Y77" s="6"/>
      <c r="Z77" s="6"/>
      <c r="AA77" s="6"/>
      <c r="AB77" s="6"/>
      <c r="AC77" s="6"/>
      <c r="AD77" s="16"/>
      <c r="AE77" s="13"/>
      <c r="AF77" s="17"/>
      <c r="AG77" s="17"/>
      <c r="AH77" s="17"/>
    </row>
    <row r="78" spans="1:34" ht="16.5" customHeight="1">
      <c r="A78" s="67" t="s">
        <v>338</v>
      </c>
      <c r="B78" s="78">
        <f>VLOOKUP(B13,Данные!$A$200:$S$216,9,FALSE)</f>
        <v>0</v>
      </c>
      <c r="C78" s="79">
        <f>VLOOKUP(B13,Данные!$A$200:$S$216,8,FALSE)</f>
        <v>0</v>
      </c>
      <c r="D78" s="80">
        <f>VLOOKUP(D13,Данные!$A$200:$S$216,9,FALSE)</f>
        <v>0</v>
      </c>
      <c r="E78" s="79">
        <f>VLOOKUP(D13,Данные!$A$200:$S$216,8,FALSE)</f>
        <v>0</v>
      </c>
      <c r="F78" s="80">
        <f>VLOOKUP(F13,Данные!$A$200:$S$216,9,FALSE)</f>
        <v>0</v>
      </c>
      <c r="G78" s="79">
        <f>VLOOKUP(F13,Данные!$A$200:$S$216,8,FALSE)</f>
        <v>0</v>
      </c>
      <c r="H78" s="80">
        <f>VLOOKUP(H13,Данные!$A$200:$S$216,9,FALSE)</f>
        <v>0</v>
      </c>
      <c r="I78" s="81">
        <f>VLOOKUP(H13,Данные!$A$200:$S$216,8,FALSE)</f>
        <v>0</v>
      </c>
      <c r="J78" s="76">
        <f>IF(C78=0,0,IF(OR($A$17="Цинк 0,5",$A$17="Цинк 0,55"),C78*VLOOKUP($A$17,'Цены Жалюзи'!$B$286:$P$310,7,FALSE),C78*VLOOKUP($A$17,'Цены Жалюзи'!$B$286:$P$310,7,FALSE)))</f>
        <v>0</v>
      </c>
      <c r="K78" s="76">
        <f>IF(E78=0,0,IF(OR($A$17="Цинк 0,5",$A$17="Цинк 0,55"),E78*VLOOKUP($A$17,'Цены Жалюзи'!$B$286:$P$310,7,FALSE),E78*VLOOKUP($A$17,'Цены Жалюзи'!$B$286:$P$310,7,FALSE)))</f>
        <v>0</v>
      </c>
      <c r="L78" s="76">
        <f>IF(G78=0,0,IF(OR($A$17="Цинк 0,5",$A$17="Цинк 0,55"),G78*VLOOKUP($A$17,'Цены Жалюзи'!$B$286:$P$310,7,FALSE),G78*VLOOKUP($A$17,'Цены Жалюзи'!$B$286:$P$310,7,FALSE)))</f>
        <v>0</v>
      </c>
      <c r="M78" s="76">
        <f>IF(I78=0,0,IF(OR($A$17="Цинк 0,5",$A$17="Цинк 0,55"),I78*VLOOKUP($A$17,'Цены Жалюзи'!$B$286:$P$310,7,FALSE),I78*VLOOKUP($A$17,'Цены Жалюзи'!$B$286:$P$310,7,FALSE)))</f>
        <v>0</v>
      </c>
      <c r="O78" s="13"/>
      <c r="V78" s="14"/>
      <c r="W78" s="6"/>
      <c r="X78" s="6"/>
      <c r="Y78" s="6"/>
      <c r="Z78" s="6"/>
      <c r="AA78" s="6"/>
      <c r="AB78" s="6"/>
      <c r="AC78" s="6"/>
      <c r="AD78" s="16"/>
      <c r="AE78" s="13"/>
      <c r="AF78" s="17"/>
      <c r="AG78" s="17"/>
      <c r="AH78" s="17"/>
    </row>
    <row r="79" spans="1:34" ht="16.5" customHeight="1">
      <c r="A79" s="67" t="s">
        <v>335</v>
      </c>
      <c r="B79" s="78">
        <f>VLOOKUP(B13,Данные!$A$200:$S$216,11,FALSE)</f>
        <v>0</v>
      </c>
      <c r="C79" s="79">
        <f>VLOOKUP(B13,Данные!$A$200:$S$216,10,FALSE)</f>
        <v>0</v>
      </c>
      <c r="D79" s="80">
        <f>VLOOKUP(D13,Данные!$A$200:$S$216,11,FALSE)</f>
        <v>0</v>
      </c>
      <c r="E79" s="79">
        <f>VLOOKUP(D13,Данные!$A$200:$S$216,10,FALSE)</f>
        <v>0</v>
      </c>
      <c r="F79" s="80">
        <f>VLOOKUP(F13,Данные!$A$200:$S$216,11,FALSE)</f>
        <v>0</v>
      </c>
      <c r="G79" s="79">
        <f>VLOOKUP(F13,Данные!$A$200:$S$216,10,FALSE)</f>
        <v>0</v>
      </c>
      <c r="H79" s="80">
        <f>VLOOKUP(H13,Данные!$A$200:$S$216,11,FALSE)</f>
        <v>0</v>
      </c>
      <c r="I79" s="81">
        <f>VLOOKUP(H13,Данные!$A$200:$S$216,10,FALSE)</f>
        <v>0</v>
      </c>
      <c r="J79" s="76">
        <f>IF(C79=0,0,IF(OR($A$17="Цинк 0,5",$A$17="Цинк 0,55"),C79*VLOOKUP($A$17,'Цены Жалюзи'!$B$286:$P$310,6,FALSE),C79*VLOOKUP($A$17,'Цены Жалюзи'!$B$286:$P$310,6,FALSE)))</f>
        <v>0</v>
      </c>
      <c r="K79" s="76">
        <f>IF(E79=0,0,IF(OR($A$17="Цинк 0,5",$A$17="Цинк 0,55"),E79*VLOOKUP($A$17,'Цены Жалюзи'!$B$286:$P$310,6,FALSE),E79*VLOOKUP($A$17,'Цены Жалюзи'!$B$286:$P$310,6,FALSE)))</f>
        <v>0</v>
      </c>
      <c r="L79" s="76">
        <f>IF(G79=0,0,IF(OR($A$17="Цинк 0,5",$A$17="Цинк 0,55"),G79*VLOOKUP($A$17,'Цены Жалюзи'!$B$286:$P$310,6,FALSE),G79*VLOOKUP($A$17,'Цены Жалюзи'!$B$286:$P$310,6,FALSE)))</f>
        <v>0</v>
      </c>
      <c r="M79" s="76">
        <f>IF(I79=0,0,IF(OR($A$17="Цинк 0,5",$A$17="Цинк 0,55"),I79*VLOOKUP($A$17,'Цены Жалюзи'!$B$286:$P$310,6,FALSE),I79*VLOOKUP($A$17,'Цены Жалюзи'!$B$286:$P$310,6,FALSE)))</f>
        <v>0</v>
      </c>
      <c r="O79" s="13"/>
      <c r="V79" s="14"/>
      <c r="W79" s="6"/>
      <c r="X79" s="6"/>
      <c r="Y79" s="6"/>
      <c r="Z79" s="6"/>
      <c r="AA79" s="6"/>
      <c r="AB79" s="6"/>
      <c r="AC79" s="6"/>
      <c r="AD79" s="16"/>
      <c r="AE79" s="13"/>
      <c r="AF79" s="17"/>
      <c r="AG79" s="17"/>
      <c r="AH79" s="17"/>
    </row>
    <row r="80" spans="1:37" ht="16.5" customHeight="1">
      <c r="A80" s="90" t="s">
        <v>294</v>
      </c>
      <c r="B80" s="78">
        <f>VLOOKUP(B13,Данные!$A$200:$S$216,13,FALSE)</f>
        <v>0</v>
      </c>
      <c r="C80" s="79">
        <f>VLOOKUP(B13,Данные!$A$200:$S$216,12,FALSE)</f>
        <v>0</v>
      </c>
      <c r="D80" s="80">
        <f>VLOOKUP(D13,Данные!$A$200:$S$216,13,FALSE)</f>
        <v>0</v>
      </c>
      <c r="E80" s="79">
        <f>VLOOKUP(D13,Данные!$A$200:$S$216,12,FALSE)</f>
        <v>0</v>
      </c>
      <c r="F80" s="80">
        <f>VLOOKUP(F13,Данные!$A$200:$S$216,13,FALSE)</f>
        <v>0</v>
      </c>
      <c r="G80" s="79">
        <f>VLOOKUP(F13,Данные!$A$200:$S$216,12,FALSE)</f>
        <v>0</v>
      </c>
      <c r="H80" s="80">
        <f>VLOOKUP(H13,Данные!$A$200:$S$216,13,FALSE)</f>
        <v>0</v>
      </c>
      <c r="I80" s="81">
        <f>VLOOKUP(H13,Данные!$A$200:$S$216,12,FALSE)</f>
        <v>0</v>
      </c>
      <c r="J80" s="76">
        <f>IF(C80=0,0,VLOOKUP($A$17,'Цены Жалюзи'!$B$286:$P$310,8,FALSE)*C80)</f>
        <v>0</v>
      </c>
      <c r="K80" s="76">
        <f>IF(E80=0,0,VLOOKUP($A$17,'Цены Жалюзи'!$B$286:$P$310,8,FALSE)*E80)</f>
        <v>0</v>
      </c>
      <c r="L80" s="76">
        <f>IF(G80=0,0,VLOOKUP($A$17,'Цены Жалюзи'!$B$286:$P$310,8,FALSE)*G80)</f>
        <v>0</v>
      </c>
      <c r="M80" s="76">
        <f>IF(I80=0,0,VLOOKUP($A$17,'Цены Жалюзи'!$B$286:$P$310,8,FALSE)*I80)</f>
        <v>0</v>
      </c>
      <c r="O80" s="13"/>
      <c r="V80" s="14"/>
      <c r="W80" s="6"/>
      <c r="X80" s="6"/>
      <c r="Y80" s="6"/>
      <c r="Z80" s="6"/>
      <c r="AA80" s="6"/>
      <c r="AB80" s="6"/>
      <c r="AC80" s="6"/>
      <c r="AD80" s="17"/>
      <c r="AE80" s="17"/>
      <c r="AF80" s="18"/>
      <c r="AG80" s="17"/>
      <c r="AH80" s="13"/>
      <c r="AI80" s="17"/>
      <c r="AJ80" s="17"/>
      <c r="AK80" s="17"/>
    </row>
    <row r="81" spans="1:37" ht="16.5" customHeight="1">
      <c r="A81" s="2" t="s">
        <v>295</v>
      </c>
      <c r="B81" s="78">
        <f>VLOOKUP(B13,Данные!$A$200:$S$216,15,FALSE)</f>
        <v>0</v>
      </c>
      <c r="C81" s="79">
        <f>VLOOKUP(B13,Данные!$A$200:$S$216,14,FALSE)</f>
        <v>0</v>
      </c>
      <c r="D81" s="80">
        <f>VLOOKUP(D13,Данные!$A$200:$S$216,15,FALSE)</f>
        <v>0</v>
      </c>
      <c r="E81" s="79">
        <f>VLOOKUP(D13,Данные!$A$200:$S$216,14,FALSE)</f>
        <v>0</v>
      </c>
      <c r="F81" s="80">
        <f>VLOOKUP(F13,Данные!$A$200:$S$216,15,FALSE)</f>
        <v>0</v>
      </c>
      <c r="G81" s="79">
        <f>VLOOKUP(F13,Данные!$A$200:$S$216,14,FALSE)</f>
        <v>0</v>
      </c>
      <c r="H81" s="80">
        <f>VLOOKUP(H13,Данные!$A$200:$S$216,15,FALSE)</f>
        <v>0</v>
      </c>
      <c r="I81" s="81">
        <f>VLOOKUP(H13,Данные!$A$200:$S$216,14,FALSE)</f>
        <v>0</v>
      </c>
      <c r="J81" s="76">
        <f>IF(C81=0,0,VLOOKUP($A$17,'Цены Жалюзи'!$B$286:$P$310,9,FALSE)*C81)</f>
        <v>0</v>
      </c>
      <c r="K81" s="76">
        <f>IF(E81=0,0,VLOOKUP($A$17,'Цены Жалюзи'!$B$286:$P$310,9,FALSE)*E81)</f>
        <v>0</v>
      </c>
      <c r="L81" s="76">
        <f>IF(G81=0,0,VLOOKUP($A$17,'Цены Жалюзи'!$B$286:$P$310,9,FALSE)*G81)</f>
        <v>0</v>
      </c>
      <c r="M81" s="76">
        <f>IF(I81=0,0,VLOOKUP($A$17,'Цены Жалюзи'!$B$286:$P$310,9,FALSE)*I81)</f>
        <v>0</v>
      </c>
      <c r="O81" s="13"/>
      <c r="V81" s="14"/>
      <c r="W81" s="6"/>
      <c r="X81" s="6"/>
      <c r="Y81" s="6"/>
      <c r="Z81" s="6"/>
      <c r="AA81" s="6"/>
      <c r="AB81" s="6"/>
      <c r="AC81" s="6"/>
      <c r="AD81" s="19"/>
      <c r="AE81" s="17"/>
      <c r="AF81" s="18"/>
      <c r="AG81" s="17"/>
      <c r="AH81" s="13"/>
      <c r="AI81" s="17"/>
      <c r="AJ81" s="17"/>
      <c r="AK81" s="17"/>
    </row>
    <row r="82" spans="1:37" ht="16.5" customHeight="1">
      <c r="A82" s="53" t="s">
        <v>94</v>
      </c>
      <c r="B82" s="78" t="s">
        <v>28</v>
      </c>
      <c r="C82" s="79">
        <f>VLOOKUP(B13,Данные!$A$200:$S$216,17,FALSE)</f>
        <v>0</v>
      </c>
      <c r="D82" s="80" t="s">
        <v>28</v>
      </c>
      <c r="E82" s="79">
        <f>VLOOKUP(D13,Данные!$A$200:$S$216,17,FALSE)</f>
        <v>0</v>
      </c>
      <c r="F82" s="80" t="s">
        <v>28</v>
      </c>
      <c r="G82" s="79">
        <f>VLOOKUP(F13,Данные!$A$200:$S$216,17,FALSE)</f>
        <v>0</v>
      </c>
      <c r="H82" s="80" t="s">
        <v>28</v>
      </c>
      <c r="I82" s="81">
        <f>VLOOKUP(H13,Данные!$A$200:$S$216,17,FALSE)</f>
        <v>0</v>
      </c>
      <c r="J82" s="76">
        <f>IF(C82=0,0,VLOOKUP($A$17,'Цены Жалюзи'!$B$286:$P$310,16,FALSE)*C82)</f>
        <v>0</v>
      </c>
      <c r="K82" s="76">
        <f>IF(E82=0,0,VLOOKUP($A$17,'Цены Жалюзи'!$B$286:$P$310,16,FALSE)*E82)</f>
        <v>0</v>
      </c>
      <c r="L82" s="76">
        <f>IF(G82=0,0,VLOOKUP($A$17,'Цены Жалюзи'!$B$286:$P$310,16,FALSE)*G82)</f>
        <v>0</v>
      </c>
      <c r="M82" s="76">
        <f>IF(I82=0,0,VLOOKUP($A$17,'Цены Жалюзи'!$B$286:$P$310,16,FALSE)*I82)</f>
        <v>0</v>
      </c>
      <c r="O82" s="13"/>
      <c r="V82" s="14"/>
      <c r="W82" s="6"/>
      <c r="X82" s="6"/>
      <c r="Y82" s="6"/>
      <c r="Z82" s="6"/>
      <c r="AA82" s="6"/>
      <c r="AB82" s="6"/>
      <c r="AC82" s="6"/>
      <c r="AD82" s="19"/>
      <c r="AE82" s="17"/>
      <c r="AF82" s="18"/>
      <c r="AG82" s="17"/>
      <c r="AH82" s="13"/>
      <c r="AI82" s="17"/>
      <c r="AJ82" s="17"/>
      <c r="AK82" s="17"/>
    </row>
    <row r="83" spans="1:37" ht="16.5" customHeight="1">
      <c r="A83" s="53" t="s">
        <v>97</v>
      </c>
      <c r="B83" s="78" t="s">
        <v>28</v>
      </c>
      <c r="C83" s="79">
        <f>VLOOKUP(B13,Данные!$A$200:$S$216,18,FALSE)</f>
        <v>0</v>
      </c>
      <c r="D83" s="80" t="s">
        <v>28</v>
      </c>
      <c r="E83" s="79">
        <f>VLOOKUP(D13,Данные!$A$200:$S$216,18,FALSE)</f>
        <v>0</v>
      </c>
      <c r="F83" s="80" t="s">
        <v>28</v>
      </c>
      <c r="G83" s="79">
        <f>VLOOKUP(F13,Данные!$A$200:$S$216,18,FALSE)</f>
        <v>0</v>
      </c>
      <c r="H83" s="80" t="s">
        <v>28</v>
      </c>
      <c r="I83" s="81">
        <f>VLOOKUP(H13,Данные!$A$200:$S$216,18,FALSE)</f>
        <v>0</v>
      </c>
      <c r="J83" s="76">
        <f>IF(C83=0,0,VLOOKUP($A$17,'Цены Жалюзи'!$B$286:$P$310,17,FALSE)*C83)</f>
        <v>0</v>
      </c>
      <c r="K83" s="76">
        <f>IF(E83=0,0,VLOOKUP($A$17,'Цены Жалюзи'!$B$286:$P$310,17,FALSE)*E83)</f>
        <v>0</v>
      </c>
      <c r="L83" s="76">
        <f>IF(G83=0,0,VLOOKUP($A$17,'Цены Жалюзи'!$B$286:$P$310,17,FALSE)*G83)</f>
        <v>0</v>
      </c>
      <c r="M83" s="76">
        <f>IF(I83=0,0,VLOOKUP($A$17,'Цены Жалюзи'!$B$286:$P$310,17,FALSE)*I83)</f>
        <v>0</v>
      </c>
      <c r="O83" s="13"/>
      <c r="V83" s="14"/>
      <c r="W83" s="6"/>
      <c r="X83" s="6"/>
      <c r="Y83" s="6"/>
      <c r="Z83" s="6"/>
      <c r="AA83" s="6"/>
      <c r="AB83" s="6"/>
      <c r="AC83" s="6"/>
      <c r="AD83" s="19"/>
      <c r="AE83" s="17"/>
      <c r="AF83" s="18"/>
      <c r="AG83" s="17"/>
      <c r="AH83" s="13"/>
      <c r="AI83" s="17"/>
      <c r="AJ83" s="17"/>
      <c r="AK83" s="17"/>
    </row>
    <row r="84" spans="1:37" ht="16.5" customHeight="1">
      <c r="A84" s="53" t="s">
        <v>343</v>
      </c>
      <c r="B84" s="78" t="s">
        <v>28</v>
      </c>
      <c r="C84" s="79">
        <f>VLOOKUP(B13,Данные!$A$200:$S$216,19,FALSE)</f>
        <v>0</v>
      </c>
      <c r="D84" s="80" t="s">
        <v>28</v>
      </c>
      <c r="E84" s="79">
        <f>VLOOKUP(D13,Данные!$A$200:$S$216,19,FALSE)</f>
        <v>0</v>
      </c>
      <c r="F84" s="80" t="s">
        <v>28</v>
      </c>
      <c r="G84" s="79">
        <f>VLOOKUP(F13,Данные!$A$200:$S$216,19,FALSE)</f>
        <v>0</v>
      </c>
      <c r="H84" s="80" t="s">
        <v>28</v>
      </c>
      <c r="I84" s="81">
        <f>VLOOKUP(H13,Данные!$A$200:$S$216,19,FALSE)</f>
        <v>0</v>
      </c>
      <c r="J84" s="76">
        <f>IF(C84=0,0,VLOOKUP($A$17,'Цены Жалюзи'!$B$286:$P$310,18,FALSE)*C84)</f>
        <v>0</v>
      </c>
      <c r="K84" s="76">
        <f>IF(E84=0,0,VLOOKUP($A$17,'Цены Жалюзи'!$B$286:$P$310,18,FALSE)*E84)</f>
        <v>0</v>
      </c>
      <c r="L84" s="76">
        <f>IF(G84=0,0,VLOOKUP($A$17,'Цены Жалюзи'!$B$286:$P$310,18,FALSE)*G84)</f>
        <v>0</v>
      </c>
      <c r="M84" s="76">
        <f>IF(I84=0,0,VLOOKUP($A$17,'Цены Жалюзи'!$B$286:$P$310,18,FALSE)*I84)</f>
        <v>0</v>
      </c>
      <c r="O84" s="13"/>
      <c r="V84" s="14"/>
      <c r="W84" s="6"/>
      <c r="X84" s="6"/>
      <c r="Y84" s="6"/>
      <c r="Z84" s="6"/>
      <c r="AA84" s="6"/>
      <c r="AB84" s="6"/>
      <c r="AC84" s="6"/>
      <c r="AD84" s="19"/>
      <c r="AE84" s="17"/>
      <c r="AF84" s="18"/>
      <c r="AG84" s="17"/>
      <c r="AH84" s="13"/>
      <c r="AI84" s="17"/>
      <c r="AJ84" s="17"/>
      <c r="AK84" s="17"/>
    </row>
    <row r="85" spans="1:37" ht="16.5" customHeight="1">
      <c r="A85" s="67" t="s">
        <v>34</v>
      </c>
      <c r="B85" s="118" t="s">
        <v>308</v>
      </c>
      <c r="C85" s="79">
        <f>VLOOKUP(B13,Данные!$A$200:$S$216,16,FALSE)</f>
        <v>0</v>
      </c>
      <c r="D85" s="118" t="s">
        <v>308</v>
      </c>
      <c r="E85" s="79">
        <f>VLOOKUP(D13,Данные!$A$200:$S$216,16,FALSE)</f>
        <v>0</v>
      </c>
      <c r="F85" s="118" t="s">
        <v>308</v>
      </c>
      <c r="G85" s="79">
        <f>VLOOKUP(F13,Данные!$A$200:$S$216,16,FALSE)</f>
        <v>0</v>
      </c>
      <c r="H85" s="118" t="s">
        <v>308</v>
      </c>
      <c r="I85" s="81">
        <f>VLOOKUP(H13,Данные!$A$200:$S$216,16,FALSE)</f>
        <v>0</v>
      </c>
      <c r="J85" s="183">
        <f>IF(C85=0,0,IF(OR($A$17="Цинк 0,5",$A$17="Цинк 0,55"),C85*'Цены Жалюзи'!$D$326,C85*'Цены Жалюзи'!$D$326))</f>
        <v>0</v>
      </c>
      <c r="K85" s="183">
        <f>IF(E85=0,0,IF(OR($A$17="Цинк 0,5",$A$17="Цинк 0,55"),E85*'Цены Жалюзи'!$D$326,E85*'Цены Жалюзи'!$D$326))</f>
        <v>0</v>
      </c>
      <c r="L85" s="183">
        <f>IF(G85=0,0,IF(OR($A$17="Цинк 0,5",$A$17="Цинк 0,55"),G85*'Цены Жалюзи'!$D$326,G85*'Цены Жалюзи'!$D$326))</f>
        <v>0</v>
      </c>
      <c r="M85" s="183">
        <f>IF(I85=0,0,IF(OR($A$17="Цинк 0,5",$A$17="Цинк 0,55"),I85*'Цены Жалюзи'!$D$326,I85*'Цены Жалюзи'!$D$326))</f>
        <v>0</v>
      </c>
      <c r="O85" s="13"/>
      <c r="V85" s="14"/>
      <c r="W85" s="6"/>
      <c r="X85" s="6"/>
      <c r="Y85" s="6"/>
      <c r="Z85" s="6"/>
      <c r="AA85" s="6"/>
      <c r="AB85" s="6"/>
      <c r="AC85" s="6"/>
      <c r="AD85" s="19"/>
      <c r="AE85" s="17"/>
      <c r="AF85" s="18"/>
      <c r="AG85" s="17"/>
      <c r="AH85" s="13"/>
      <c r="AI85" s="17"/>
      <c r="AJ85" s="17"/>
      <c r="AK85" s="17"/>
    </row>
    <row r="86" spans="1:37" ht="16.5" customHeight="1">
      <c r="A86" s="101" t="s">
        <v>339</v>
      </c>
      <c r="B86" s="106"/>
      <c r="C86" s="107"/>
      <c r="D86" s="110"/>
      <c r="E86" s="107"/>
      <c r="F86" s="110"/>
      <c r="G86" s="107"/>
      <c r="H86" s="110"/>
      <c r="I86" s="106"/>
      <c r="J86" s="77">
        <f>SUM(J25:J85)</f>
        <v>0</v>
      </c>
      <c r="K86" s="77">
        <f>SUM(K25:K85)</f>
        <v>0</v>
      </c>
      <c r="L86" s="77">
        <f>SUM(L25:L85)</f>
        <v>0</v>
      </c>
      <c r="M86" s="77">
        <f>SUM(M25:M85)</f>
        <v>0</v>
      </c>
      <c r="O86" s="13"/>
      <c r="V86" s="14"/>
      <c r="W86" s="6"/>
      <c r="X86" s="6"/>
      <c r="Y86" s="6"/>
      <c r="Z86" s="6"/>
      <c r="AA86" s="6"/>
      <c r="AB86" s="6"/>
      <c r="AC86" s="6"/>
      <c r="AD86" s="19"/>
      <c r="AE86" s="17"/>
      <c r="AF86" s="18"/>
      <c r="AG86" s="17"/>
      <c r="AH86" s="13"/>
      <c r="AI86" s="17"/>
      <c r="AJ86" s="17"/>
      <c r="AK86" s="17"/>
    </row>
    <row r="87" spans="1:37" s="154" customFormat="1" ht="16.5" customHeight="1">
      <c r="A87" s="117" t="s">
        <v>129</v>
      </c>
      <c r="B87" s="118" t="s">
        <v>311</v>
      </c>
      <c r="C87" s="119">
        <f>C35</f>
        <v>0</v>
      </c>
      <c r="D87" s="118" t="s">
        <v>311</v>
      </c>
      <c r="E87" s="119">
        <f>E35</f>
        <v>0</v>
      </c>
      <c r="F87" s="118" t="s">
        <v>311</v>
      </c>
      <c r="G87" s="119">
        <f>G35</f>
        <v>0</v>
      </c>
      <c r="H87" s="118" t="s">
        <v>311</v>
      </c>
      <c r="I87" s="143">
        <f>I35</f>
        <v>0</v>
      </c>
      <c r="J87" s="155"/>
      <c r="K87" s="155"/>
      <c r="L87" s="155"/>
      <c r="M87" s="155"/>
      <c r="O87" s="145"/>
      <c r="V87" s="156"/>
      <c r="W87" s="157"/>
      <c r="X87" s="157"/>
      <c r="Y87" s="157"/>
      <c r="Z87" s="157"/>
      <c r="AA87" s="157"/>
      <c r="AB87" s="157"/>
      <c r="AC87" s="157"/>
      <c r="AD87" s="158"/>
      <c r="AE87" s="159"/>
      <c r="AF87" s="160"/>
      <c r="AG87" s="159"/>
      <c r="AH87" s="145"/>
      <c r="AI87" s="159"/>
      <c r="AJ87" s="159"/>
      <c r="AK87" s="159"/>
    </row>
    <row r="88" spans="1:37" s="154" customFormat="1" ht="16.5" customHeight="1">
      <c r="A88" s="121" t="s">
        <v>36</v>
      </c>
      <c r="B88" s="118" t="s">
        <v>310</v>
      </c>
      <c r="C88" s="119">
        <f>C36</f>
        <v>0</v>
      </c>
      <c r="D88" s="118" t="s">
        <v>310</v>
      </c>
      <c r="E88" s="119">
        <f>E36</f>
        <v>0</v>
      </c>
      <c r="F88" s="118" t="s">
        <v>310</v>
      </c>
      <c r="G88" s="119">
        <f>G36</f>
        <v>0</v>
      </c>
      <c r="H88" s="118" t="s">
        <v>310</v>
      </c>
      <c r="I88" s="143">
        <f>I36</f>
        <v>0</v>
      </c>
      <c r="J88" s="155"/>
      <c r="K88" s="155"/>
      <c r="L88" s="155"/>
      <c r="M88" s="155"/>
      <c r="O88" s="145"/>
      <c r="V88" s="156"/>
      <c r="W88" s="157"/>
      <c r="X88" s="157"/>
      <c r="Y88" s="157"/>
      <c r="Z88" s="157"/>
      <c r="AA88" s="157"/>
      <c r="AB88" s="157"/>
      <c r="AC88" s="157"/>
      <c r="AD88" s="158"/>
      <c r="AE88" s="159"/>
      <c r="AF88" s="160"/>
      <c r="AG88" s="159"/>
      <c r="AH88" s="145"/>
      <c r="AI88" s="159"/>
      <c r="AJ88" s="159"/>
      <c r="AK88" s="159"/>
    </row>
    <row r="89" spans="1:37" s="154" customFormat="1" ht="16.5" customHeight="1">
      <c r="A89" s="67" t="s">
        <v>34</v>
      </c>
      <c r="B89" s="118" t="s">
        <v>308</v>
      </c>
      <c r="C89" s="119">
        <f>C85</f>
        <v>0</v>
      </c>
      <c r="D89" s="118" t="s">
        <v>308</v>
      </c>
      <c r="E89" s="119">
        <f>E85</f>
        <v>0</v>
      </c>
      <c r="F89" s="118" t="s">
        <v>308</v>
      </c>
      <c r="G89" s="119">
        <f>G85</f>
        <v>0</v>
      </c>
      <c r="H89" s="118" t="s">
        <v>308</v>
      </c>
      <c r="I89" s="143">
        <f>I85</f>
        <v>0</v>
      </c>
      <c r="J89" s="155"/>
      <c r="K89" s="155"/>
      <c r="L89" s="155"/>
      <c r="M89" s="155"/>
      <c r="O89" s="145"/>
      <c r="V89" s="156"/>
      <c r="W89" s="157"/>
      <c r="X89" s="157"/>
      <c r="Y89" s="157"/>
      <c r="Z89" s="157"/>
      <c r="AA89" s="157"/>
      <c r="AB89" s="157"/>
      <c r="AC89" s="157"/>
      <c r="AD89" s="158"/>
      <c r="AE89" s="159"/>
      <c r="AF89" s="160"/>
      <c r="AG89" s="159"/>
      <c r="AH89" s="145"/>
      <c r="AI89" s="159"/>
      <c r="AJ89" s="159"/>
      <c r="AK89" s="159"/>
    </row>
    <row r="90" spans="1:37" s="154" customFormat="1" ht="16.5" customHeight="1">
      <c r="A90" s="121" t="s">
        <v>306</v>
      </c>
      <c r="B90" s="118" t="s">
        <v>309</v>
      </c>
      <c r="C90" s="119">
        <f>C37</f>
        <v>0</v>
      </c>
      <c r="D90" s="118" t="s">
        <v>309</v>
      </c>
      <c r="E90" s="119">
        <f>E37</f>
        <v>0</v>
      </c>
      <c r="F90" s="118" t="s">
        <v>309</v>
      </c>
      <c r="G90" s="119">
        <f>G37</f>
        <v>0</v>
      </c>
      <c r="H90" s="118" t="s">
        <v>309</v>
      </c>
      <c r="I90" s="143">
        <f>I37</f>
        <v>0</v>
      </c>
      <c r="J90" s="155"/>
      <c r="K90" s="155"/>
      <c r="L90" s="155"/>
      <c r="M90" s="155"/>
      <c r="O90" s="145"/>
      <c r="V90" s="156"/>
      <c r="W90" s="157"/>
      <c r="X90" s="157"/>
      <c r="Y90" s="157"/>
      <c r="Z90" s="157"/>
      <c r="AA90" s="157"/>
      <c r="AB90" s="157"/>
      <c r="AC90" s="157"/>
      <c r="AD90" s="158"/>
      <c r="AE90" s="159"/>
      <c r="AF90" s="160"/>
      <c r="AG90" s="159"/>
      <c r="AH90" s="145"/>
      <c r="AI90" s="159"/>
      <c r="AJ90" s="159"/>
      <c r="AK90" s="159"/>
    </row>
    <row r="91" spans="1:37" s="154" customFormat="1" ht="16.5" customHeight="1">
      <c r="A91" s="121" t="s">
        <v>112</v>
      </c>
      <c r="B91" s="118"/>
      <c r="C91" s="119">
        <f>C38</f>
        <v>0</v>
      </c>
      <c r="D91" s="118"/>
      <c r="E91" s="119">
        <f>E38</f>
        <v>0</v>
      </c>
      <c r="F91" s="118"/>
      <c r="G91" s="119">
        <f>G38</f>
        <v>0</v>
      </c>
      <c r="H91" s="118"/>
      <c r="I91" s="143">
        <f>I38</f>
        <v>0</v>
      </c>
      <c r="J91" s="155"/>
      <c r="K91" s="155"/>
      <c r="L91" s="155"/>
      <c r="M91" s="155"/>
      <c r="O91" s="145"/>
      <c r="V91" s="156"/>
      <c r="W91" s="157"/>
      <c r="X91" s="157"/>
      <c r="Y91" s="157"/>
      <c r="Z91" s="157"/>
      <c r="AA91" s="157"/>
      <c r="AB91" s="157"/>
      <c r="AC91" s="157"/>
      <c r="AD91" s="158"/>
      <c r="AE91" s="159"/>
      <c r="AF91" s="160"/>
      <c r="AG91" s="159"/>
      <c r="AH91" s="145"/>
      <c r="AI91" s="159"/>
      <c r="AJ91" s="159"/>
      <c r="AK91" s="159"/>
    </row>
    <row r="92" spans="1:15" ht="12.75" customHeight="1">
      <c r="A92" s="14"/>
      <c r="B92" s="59"/>
      <c r="C92" s="13"/>
      <c r="D92" s="13"/>
      <c r="E92" s="13"/>
      <c r="F92" s="13"/>
      <c r="G92" s="13"/>
      <c r="H92" s="13"/>
      <c r="I92" s="13"/>
      <c r="N92" s="60"/>
      <c r="O92" s="13"/>
    </row>
    <row r="93" spans="1:15" ht="12.75" customHeight="1">
      <c r="A93" s="60"/>
      <c r="B93" s="59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60"/>
      <c r="O93" s="13"/>
    </row>
    <row r="94" spans="1:15" ht="19.5" customHeight="1">
      <c r="A94" s="224" t="s">
        <v>241</v>
      </c>
      <c r="B94" s="224"/>
      <c r="C94" s="224"/>
      <c r="D94" s="224"/>
      <c r="E94" s="224"/>
      <c r="F94" s="224"/>
      <c r="G94" s="224"/>
      <c r="H94" s="224"/>
      <c r="I94" s="224"/>
      <c r="J94" s="13"/>
      <c r="K94" s="13"/>
      <c r="L94" s="13"/>
      <c r="M94" s="13"/>
      <c r="N94" s="60"/>
      <c r="O94" s="13"/>
    </row>
    <row r="95" spans="1:15" ht="18" customHeight="1">
      <c r="A95" s="216" t="s">
        <v>158</v>
      </c>
      <c r="B95" s="216"/>
      <c r="C95" s="216"/>
      <c r="D95" s="216"/>
      <c r="E95" s="216"/>
      <c r="F95" s="216"/>
      <c r="G95" s="216"/>
      <c r="H95" s="216"/>
      <c r="I95" s="216"/>
      <c r="J95" s="13"/>
      <c r="K95" s="13"/>
      <c r="L95" s="13"/>
      <c r="M95" s="13"/>
      <c r="N95" s="60"/>
      <c r="O95" s="13"/>
    </row>
    <row r="96" spans="1:14" ht="16.5" customHeight="1">
      <c r="A96" s="216" t="s">
        <v>242</v>
      </c>
      <c r="B96" s="216"/>
      <c r="C96" s="216"/>
      <c r="D96" s="216"/>
      <c r="E96" s="216"/>
      <c r="F96" s="216"/>
      <c r="G96" s="216"/>
      <c r="H96" s="216"/>
      <c r="I96" s="216"/>
      <c r="J96" s="14"/>
      <c r="K96" s="14"/>
      <c r="L96" s="14"/>
      <c r="M96" s="14"/>
      <c r="N96" s="14"/>
    </row>
    <row r="97" spans="1:14" ht="12.75" customHeight="1">
      <c r="A97" s="216" t="s">
        <v>246</v>
      </c>
      <c r="B97" s="216"/>
      <c r="C97" s="216"/>
      <c r="D97" s="216"/>
      <c r="E97" s="216"/>
      <c r="F97" s="216"/>
      <c r="G97" s="216"/>
      <c r="H97" s="216"/>
      <c r="I97" s="216"/>
      <c r="J97" s="14"/>
      <c r="K97" s="14"/>
      <c r="L97" s="14"/>
      <c r="M97" s="14"/>
      <c r="N97" s="14"/>
    </row>
    <row r="98" spans="1:14" ht="12.75" customHeight="1">
      <c r="A98" s="216" t="s">
        <v>247</v>
      </c>
      <c r="B98" s="216"/>
      <c r="C98" s="216"/>
      <c r="D98" s="216"/>
      <c r="E98" s="216"/>
      <c r="F98" s="216"/>
      <c r="G98" s="216"/>
      <c r="H98" s="216"/>
      <c r="I98" s="216"/>
      <c r="J98" s="14"/>
      <c r="K98" s="14"/>
      <c r="L98" s="14"/>
      <c r="M98" s="14"/>
      <c r="N98" s="14"/>
    </row>
    <row r="99" spans="1:15" ht="15" customHeight="1">
      <c r="A99" s="202" t="s">
        <v>100</v>
      </c>
      <c r="B99" s="202"/>
      <c r="C99" s="202"/>
      <c r="D99" s="202"/>
      <c r="E99" s="202"/>
      <c r="F99" s="202"/>
      <c r="G99" s="202"/>
      <c r="H99" s="202"/>
      <c r="I99" s="202"/>
      <c r="K99" s="7"/>
      <c r="L99" s="7"/>
      <c r="M99" s="7"/>
      <c r="N99" s="22"/>
      <c r="O99" s="22"/>
    </row>
    <row r="100" spans="1:15" ht="15" customHeight="1">
      <c r="A100" s="202"/>
      <c r="B100" s="202"/>
      <c r="C100" s="202"/>
      <c r="D100" s="202"/>
      <c r="E100" s="202"/>
      <c r="F100" s="202"/>
      <c r="G100" s="202"/>
      <c r="H100" s="202"/>
      <c r="I100" s="202"/>
      <c r="J100" s="61"/>
      <c r="K100" s="23"/>
      <c r="L100" s="23"/>
      <c r="M100" s="23"/>
      <c r="N100" s="23"/>
      <c r="O100" s="23"/>
    </row>
    <row r="101" spans="1:17" ht="9.75" customHeight="1">
      <c r="A101" s="202" t="s">
        <v>243</v>
      </c>
      <c r="B101" s="202"/>
      <c r="C101" s="202"/>
      <c r="D101" s="202"/>
      <c r="E101" s="202"/>
      <c r="F101" s="202"/>
      <c r="G101" s="202"/>
      <c r="H101" s="202"/>
      <c r="I101" s="202"/>
      <c r="J101" s="61"/>
      <c r="K101" s="62"/>
      <c r="L101" s="62"/>
      <c r="M101" s="63"/>
      <c r="N101" s="64"/>
      <c r="O101" s="50"/>
      <c r="P101" s="25"/>
      <c r="Q101" s="25"/>
    </row>
    <row r="102" spans="1:17" ht="14.25" customHeight="1">
      <c r="A102" s="202"/>
      <c r="B102" s="202"/>
      <c r="C102" s="202"/>
      <c r="D102" s="202"/>
      <c r="E102" s="202"/>
      <c r="F102" s="202"/>
      <c r="G102" s="202"/>
      <c r="H102" s="202"/>
      <c r="I102" s="202"/>
      <c r="J102" s="61"/>
      <c r="K102" s="62"/>
      <c r="L102" s="62"/>
      <c r="M102" s="63"/>
      <c r="N102" s="64"/>
      <c r="O102" s="50"/>
      <c r="P102" s="25"/>
      <c r="Q102" s="25"/>
    </row>
    <row r="103" spans="1:15" ht="15" customHeight="1">
      <c r="A103" s="202"/>
      <c r="B103" s="202"/>
      <c r="C103" s="202"/>
      <c r="D103" s="202"/>
      <c r="E103" s="202"/>
      <c r="F103" s="202"/>
      <c r="G103" s="202"/>
      <c r="H103" s="202"/>
      <c r="I103" s="202"/>
      <c r="J103" s="61"/>
      <c r="K103" s="62"/>
      <c r="L103" s="62"/>
      <c r="M103" s="63"/>
      <c r="N103" s="64"/>
      <c r="O103" s="50"/>
    </row>
    <row r="104" ht="12.75" customHeight="1">
      <c r="O104" s="33"/>
    </row>
    <row r="105" spans="1:8" ht="12.75" customHeight="1">
      <c r="A105" s="26"/>
      <c r="B105" s="26"/>
      <c r="C105" s="26"/>
      <c r="D105" s="26"/>
      <c r="E105" s="26"/>
      <c r="F105" s="26"/>
      <c r="G105" s="26"/>
      <c r="H105" s="26"/>
    </row>
    <row r="106" spans="1:8" ht="12.75">
      <c r="A106" s="26"/>
      <c r="B106" s="26"/>
      <c r="C106" s="26"/>
      <c r="D106" s="26"/>
      <c r="E106" s="26"/>
      <c r="F106" s="26"/>
      <c r="G106" s="26"/>
      <c r="H106" s="26"/>
    </row>
    <row r="107" spans="1:8" ht="12.75">
      <c r="A107" s="26"/>
      <c r="B107" s="26"/>
      <c r="C107" s="26"/>
      <c r="D107" s="26"/>
      <c r="E107" s="26"/>
      <c r="F107" s="26"/>
      <c r="G107" s="26"/>
      <c r="H107" s="26"/>
    </row>
    <row r="108" spans="1:8" ht="12.75">
      <c r="A108" s="26"/>
      <c r="B108" s="26"/>
      <c r="C108" s="26"/>
      <c r="D108" s="26"/>
      <c r="E108" s="26"/>
      <c r="F108" s="26"/>
      <c r="G108" s="26"/>
      <c r="H108" s="26"/>
    </row>
    <row r="109" spans="1:8" ht="12.75" customHeight="1">
      <c r="A109" s="26"/>
      <c r="B109" s="26"/>
      <c r="C109" s="26"/>
      <c r="D109" s="26"/>
      <c r="E109" s="26"/>
      <c r="F109" s="26"/>
      <c r="G109" s="26"/>
      <c r="H109" s="26"/>
    </row>
    <row r="110" spans="1:8" ht="12.75" customHeight="1">
      <c r="A110" s="26"/>
      <c r="B110" s="26"/>
      <c r="C110" s="26"/>
      <c r="D110" s="26"/>
      <c r="E110" s="26"/>
      <c r="F110" s="26"/>
      <c r="G110" s="26"/>
      <c r="H110" s="26"/>
    </row>
    <row r="111" spans="1:8" ht="12.75" customHeight="1">
      <c r="A111" s="26"/>
      <c r="B111" s="26"/>
      <c r="C111" s="26"/>
      <c r="D111" s="26"/>
      <c r="E111" s="26"/>
      <c r="F111" s="26"/>
      <c r="G111" s="26"/>
      <c r="H111" s="26"/>
    </row>
    <row r="112" spans="1:8" ht="12.75" customHeight="1">
      <c r="A112" s="26"/>
      <c r="B112" s="26"/>
      <c r="C112" s="26"/>
      <c r="D112" s="26"/>
      <c r="E112" s="26"/>
      <c r="F112" s="26"/>
      <c r="G112" s="26"/>
      <c r="H112" s="26"/>
    </row>
    <row r="113" spans="1:8" ht="12.75" customHeight="1">
      <c r="A113" s="26"/>
      <c r="B113" s="26"/>
      <c r="C113" s="26"/>
      <c r="D113" s="26"/>
      <c r="E113" s="26"/>
      <c r="F113" s="26"/>
      <c r="G113" s="26"/>
      <c r="H113" s="26"/>
    </row>
    <row r="114" spans="1:8" ht="12.75" customHeight="1">
      <c r="A114" s="27"/>
      <c r="B114" s="27"/>
      <c r="C114" s="27"/>
      <c r="D114" s="27"/>
      <c r="E114" s="27"/>
      <c r="F114" s="27"/>
      <c r="G114" s="27"/>
      <c r="H114" s="27"/>
    </row>
    <row r="115" spans="1:8" ht="12.75" customHeight="1">
      <c r="A115" s="27"/>
      <c r="B115" s="27"/>
      <c r="C115" s="27"/>
      <c r="D115" s="27"/>
      <c r="E115" s="27"/>
      <c r="F115" s="27"/>
      <c r="G115" s="27"/>
      <c r="H115" s="27"/>
    </row>
    <row r="116" spans="1:8" ht="12.75" customHeight="1">
      <c r="A116" s="27"/>
      <c r="B116" s="27"/>
      <c r="C116" s="27"/>
      <c r="D116" s="27"/>
      <c r="E116" s="27"/>
      <c r="F116" s="27"/>
      <c r="G116" s="27"/>
      <c r="H116" s="27"/>
    </row>
    <row r="117" spans="1:8" ht="12.75" customHeight="1">
      <c r="A117" s="27"/>
      <c r="B117" s="27"/>
      <c r="C117" s="27"/>
      <c r="D117" s="27"/>
      <c r="E117" s="27"/>
      <c r="F117" s="27"/>
      <c r="G117" s="27"/>
      <c r="H117" s="27"/>
    </row>
    <row r="118" ht="12.75" customHeight="1">
      <c r="H118" s="14"/>
    </row>
    <row r="119" ht="12.75" customHeight="1">
      <c r="H119" s="14"/>
    </row>
    <row r="120" ht="12.75">
      <c r="H120" s="14"/>
    </row>
    <row r="121" spans="1:8" ht="12.75">
      <c r="A121" s="5"/>
      <c r="B121" s="5"/>
      <c r="H121" s="14"/>
    </row>
    <row r="122" spans="1:8" ht="12.75">
      <c r="A122" s="5"/>
      <c r="B122" s="68"/>
      <c r="H122" s="14"/>
    </row>
    <row r="123" spans="1:8" ht="12.75">
      <c r="A123" s="5"/>
      <c r="B123" s="68"/>
      <c r="H123" s="14"/>
    </row>
    <row r="124" spans="1:8" ht="12.75">
      <c r="A124" s="65"/>
      <c r="B124" s="68"/>
      <c r="H124" s="14"/>
    </row>
    <row r="125" spans="1:8" ht="12.75">
      <c r="A125" s="65"/>
      <c r="B125" s="68"/>
      <c r="H125" s="14"/>
    </row>
    <row r="126" ht="12.75">
      <c r="H126" s="14"/>
    </row>
    <row r="127" spans="1:8" ht="12.75">
      <c r="A127" s="37"/>
      <c r="H127" s="14"/>
    </row>
    <row r="128" spans="1:8" ht="12.75">
      <c r="A128" s="37"/>
      <c r="H128" s="14"/>
    </row>
    <row r="129" spans="1:8" ht="12.75">
      <c r="A129" s="37"/>
      <c r="H129" s="14"/>
    </row>
    <row r="130" spans="1:8" ht="12.75">
      <c r="A130" s="37"/>
      <c r="H130" s="14"/>
    </row>
    <row r="131" spans="1:8" ht="12.75">
      <c r="A131" s="37"/>
      <c r="H131" s="14"/>
    </row>
    <row r="132" spans="1:8" ht="12.75">
      <c r="A132" s="37"/>
      <c r="H132" s="14"/>
    </row>
    <row r="133" spans="1:8" ht="12.75">
      <c r="A133" s="37"/>
      <c r="H133" s="14"/>
    </row>
    <row r="134" spans="3:15" s="3" customFormat="1" ht="12.75">
      <c r="C134" s="39"/>
      <c r="D134" s="39"/>
      <c r="E134" s="39"/>
      <c r="F134" s="39"/>
      <c r="G134" s="39"/>
      <c r="H134" s="42"/>
      <c r="I134" s="39"/>
      <c r="J134" s="39"/>
      <c r="K134" s="39"/>
      <c r="L134" s="39"/>
      <c r="M134" s="39"/>
      <c r="N134" s="39"/>
      <c r="O134" s="39"/>
    </row>
    <row r="135" spans="1:15" s="3" customFormat="1" ht="12.75">
      <c r="A135" s="41"/>
      <c r="B135" s="199"/>
      <c r="C135" s="199"/>
      <c r="D135" s="39"/>
      <c r="E135" s="39"/>
      <c r="F135" s="39"/>
      <c r="G135" s="39"/>
      <c r="H135" s="42"/>
      <c r="I135" s="39"/>
      <c r="J135" s="39"/>
      <c r="K135" s="39"/>
      <c r="L135" s="39"/>
      <c r="M135" s="39"/>
      <c r="N135" s="39"/>
      <c r="O135" s="39"/>
    </row>
    <row r="136" spans="1:3" ht="12.75">
      <c r="A136" s="39"/>
      <c r="B136" s="39"/>
      <c r="C136" s="39"/>
    </row>
    <row r="137" spans="1:15" s="3" customFormat="1" ht="12.75">
      <c r="A137" s="40"/>
      <c r="B137" s="40"/>
      <c r="C137" s="40"/>
      <c r="D137" s="39"/>
      <c r="E137" s="39"/>
      <c r="F137" s="39"/>
      <c r="G137" s="39"/>
      <c r="H137" s="42"/>
      <c r="I137" s="39"/>
      <c r="J137" s="39"/>
      <c r="K137" s="39"/>
      <c r="L137" s="39"/>
      <c r="M137" s="39"/>
      <c r="N137" s="39"/>
      <c r="O137" s="39"/>
    </row>
    <row r="138" spans="1:15" s="3" customFormat="1" ht="12.75">
      <c r="A138" s="41"/>
      <c r="B138" s="40"/>
      <c r="C138" s="40"/>
      <c r="D138" s="39"/>
      <c r="E138" s="39"/>
      <c r="F138" s="39"/>
      <c r="G138" s="39"/>
      <c r="H138" s="42"/>
      <c r="I138" s="39"/>
      <c r="J138" s="39"/>
      <c r="K138" s="39"/>
      <c r="L138" s="39"/>
      <c r="M138" s="39"/>
      <c r="N138" s="39"/>
      <c r="O138" s="39"/>
    </row>
    <row r="139" spans="1:15" s="3" customFormat="1" ht="12.75">
      <c r="A139" s="41"/>
      <c r="B139" s="40"/>
      <c r="C139" s="40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</row>
    <row r="140" spans="1:15" s="3" customFormat="1" ht="12.75">
      <c r="A140" s="41"/>
      <c r="B140" s="40"/>
      <c r="C140" s="40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</row>
    <row r="141" spans="1:15" s="3" customFormat="1" ht="12.75">
      <c r="A141" s="41"/>
      <c r="B141" s="40"/>
      <c r="C141" s="40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</row>
    <row r="142" spans="1:15" s="3" customFormat="1" ht="12.75">
      <c r="A142" s="41"/>
      <c r="B142" s="40"/>
      <c r="C142" s="40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</row>
    <row r="143" spans="1:15" s="3" customFormat="1" ht="12.75">
      <c r="A143" s="41"/>
      <c r="B143" s="40"/>
      <c r="C143" s="40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</row>
    <row r="144" spans="1:15" s="3" customFormat="1" ht="12.75">
      <c r="A144" s="41"/>
      <c r="B144" s="40"/>
      <c r="C144" s="40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</row>
    <row r="145" spans="1:15" s="3" customFormat="1" ht="12.75">
      <c r="A145" s="41"/>
      <c r="B145" s="40"/>
      <c r="C145" s="40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</row>
    <row r="146" spans="1:15" s="3" customFormat="1" ht="12.75">
      <c r="A146" s="41"/>
      <c r="B146" s="40"/>
      <c r="C146" s="40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</row>
    <row r="147" spans="1:15" s="3" customFormat="1" ht="12.75">
      <c r="A147" s="41"/>
      <c r="B147" s="40"/>
      <c r="C147" s="40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</row>
    <row r="148" spans="1:15" s="3" customFormat="1" ht="12.75">
      <c r="A148" s="41"/>
      <c r="B148" s="40"/>
      <c r="C148" s="40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</row>
    <row r="149" spans="1:15" s="3" customFormat="1" ht="12.75">
      <c r="A149" s="41"/>
      <c r="B149" s="40"/>
      <c r="C149" s="40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</row>
    <row r="150" spans="1:15" s="3" customFormat="1" ht="12.75">
      <c r="A150" s="41"/>
      <c r="B150" s="40"/>
      <c r="C150" s="40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</row>
    <row r="151" spans="1:15" s="3" customFormat="1" ht="12.75">
      <c r="A151" s="41"/>
      <c r="B151" s="40"/>
      <c r="C151" s="40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</row>
    <row r="152" spans="1:15" s="3" customFormat="1" ht="12.75">
      <c r="A152" s="41"/>
      <c r="B152" s="40"/>
      <c r="C152" s="40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</row>
    <row r="153" spans="1:15" s="3" customFormat="1" ht="12.75">
      <c r="A153" s="41"/>
      <c r="B153" s="40"/>
      <c r="C153" s="40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</row>
    <row r="154" spans="1:15" s="3" customFormat="1" ht="12.75">
      <c r="A154" s="41"/>
      <c r="B154" s="40"/>
      <c r="C154" s="40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</row>
    <row r="155" spans="1:15" s="3" customFormat="1" ht="12.75">
      <c r="A155" s="41"/>
      <c r="B155" s="40"/>
      <c r="C155" s="40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</row>
    <row r="156" spans="1:15" s="3" customFormat="1" ht="12.75">
      <c r="A156" s="41"/>
      <c r="B156" s="40"/>
      <c r="C156" s="40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</row>
    <row r="157" spans="1:15" s="3" customFormat="1" ht="12.75">
      <c r="A157" s="41"/>
      <c r="B157" s="40"/>
      <c r="C157" s="40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</row>
    <row r="158" spans="1:15" s="3" customFormat="1" ht="12.75">
      <c r="A158" s="41"/>
      <c r="B158" s="40"/>
      <c r="C158" s="40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</row>
    <row r="159" spans="1:15" s="3" customFormat="1" ht="12.75">
      <c r="A159" s="41"/>
      <c r="B159" s="40"/>
      <c r="C159" s="40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</row>
    <row r="160" spans="1:15" s="3" customFormat="1" ht="12.75">
      <c r="A160" s="41"/>
      <c r="B160" s="40"/>
      <c r="C160" s="40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</row>
    <row r="161" spans="1:15" s="3" customFormat="1" ht="12.75">
      <c r="A161" s="41"/>
      <c r="B161" s="40"/>
      <c r="C161" s="40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</row>
    <row r="162" spans="1:15" s="3" customFormat="1" ht="12.75">
      <c r="A162" s="41"/>
      <c r="B162" s="40"/>
      <c r="C162" s="40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</row>
    <row r="163" spans="1:15" s="3" customFormat="1" ht="12.75">
      <c r="A163" s="41"/>
      <c r="B163" s="40"/>
      <c r="C163" s="40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</row>
    <row r="164" spans="1:15" s="3" customFormat="1" ht="12.75">
      <c r="A164" s="41"/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</row>
    <row r="165" spans="1:15" s="3" customFormat="1" ht="12.75">
      <c r="A165" s="41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</row>
    <row r="166" spans="1:15" s="45" customFormat="1" ht="12.75">
      <c r="A166" s="43"/>
      <c r="B166" s="44"/>
      <c r="C166" s="44"/>
      <c r="D166" s="44"/>
      <c r="E166" s="44"/>
      <c r="F166" s="44"/>
      <c r="G166" s="44"/>
      <c r="H166" s="44"/>
      <c r="I166" s="44"/>
      <c r="J166" s="44"/>
      <c r="K166" s="44"/>
      <c r="L166" s="44"/>
      <c r="M166" s="42"/>
      <c r="N166" s="42"/>
      <c r="O166" s="42"/>
    </row>
    <row r="167" spans="1:15" s="3" customFormat="1" ht="12.75">
      <c r="A167" s="39"/>
      <c r="B167" s="41"/>
      <c r="C167" s="41"/>
      <c r="D167" s="41"/>
      <c r="E167" s="41"/>
      <c r="F167" s="41"/>
      <c r="G167" s="41"/>
      <c r="H167" s="40"/>
      <c r="I167" s="40"/>
      <c r="J167" s="40"/>
      <c r="K167" s="40"/>
      <c r="L167" s="41"/>
      <c r="M167" s="39"/>
      <c r="N167" s="39"/>
      <c r="O167" s="39"/>
    </row>
    <row r="168" spans="1:15" s="3" customFormat="1" ht="12.75">
      <c r="A168" s="39"/>
      <c r="B168" s="41"/>
      <c r="C168" s="41"/>
      <c r="D168" s="41"/>
      <c r="E168" s="41"/>
      <c r="F168" s="41"/>
      <c r="G168" s="41"/>
      <c r="H168" s="40"/>
      <c r="I168" s="40"/>
      <c r="J168" s="40"/>
      <c r="K168" s="40"/>
      <c r="L168" s="41"/>
      <c r="M168" s="39"/>
      <c r="N168" s="39"/>
      <c r="O168" s="39"/>
    </row>
    <row r="169" spans="1:15" s="3" customFormat="1" ht="12.75">
      <c r="A169" s="39"/>
      <c r="B169" s="41"/>
      <c r="C169" s="41"/>
      <c r="D169" s="41"/>
      <c r="E169" s="41"/>
      <c r="F169" s="41"/>
      <c r="G169" s="41"/>
      <c r="H169" s="40"/>
      <c r="I169" s="40"/>
      <c r="J169" s="40"/>
      <c r="K169" s="40"/>
      <c r="L169" s="41"/>
      <c r="M169" s="39"/>
      <c r="N169" s="39"/>
      <c r="O169" s="39"/>
    </row>
    <row r="170" spans="1:15" s="3" customFormat="1" ht="12.75">
      <c r="A170" s="44"/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39"/>
      <c r="N170" s="39"/>
      <c r="O170" s="39"/>
    </row>
    <row r="171" spans="1:15" s="3" customFormat="1" ht="12.75">
      <c r="A171" s="39"/>
      <c r="B171" s="41"/>
      <c r="C171" s="41"/>
      <c r="D171" s="41"/>
      <c r="E171" s="41"/>
      <c r="F171" s="41"/>
      <c r="G171" s="41"/>
      <c r="H171" s="40"/>
      <c r="I171" s="40"/>
      <c r="J171" s="40"/>
      <c r="K171" s="40"/>
      <c r="L171" s="41"/>
      <c r="M171" s="39"/>
      <c r="N171" s="39"/>
      <c r="O171" s="39"/>
    </row>
    <row r="172" spans="1:15" s="3" customFormat="1" ht="12.75">
      <c r="A172" s="39"/>
      <c r="B172" s="41"/>
      <c r="C172" s="41"/>
      <c r="D172" s="41"/>
      <c r="E172" s="41"/>
      <c r="F172" s="41"/>
      <c r="G172" s="41"/>
      <c r="H172" s="40"/>
      <c r="I172" s="40"/>
      <c r="J172" s="40"/>
      <c r="K172" s="40"/>
      <c r="L172" s="41"/>
      <c r="M172" s="39"/>
      <c r="N172" s="39"/>
      <c r="O172" s="39"/>
    </row>
    <row r="173" spans="1:15" s="3" customFormat="1" ht="12.75">
      <c r="A173" s="39"/>
      <c r="B173" s="41"/>
      <c r="C173" s="41"/>
      <c r="D173" s="41"/>
      <c r="E173" s="41"/>
      <c r="F173" s="41"/>
      <c r="G173" s="41"/>
      <c r="H173" s="40"/>
      <c r="I173" s="40"/>
      <c r="J173" s="40"/>
      <c r="K173" s="40"/>
      <c r="L173" s="41"/>
      <c r="M173" s="39"/>
      <c r="N173" s="39"/>
      <c r="O173" s="39"/>
    </row>
    <row r="174" spans="1:15" s="3" customFormat="1" ht="12.75">
      <c r="A174" s="39"/>
      <c r="B174" s="41"/>
      <c r="C174" s="41"/>
      <c r="D174" s="41"/>
      <c r="E174" s="41"/>
      <c r="F174" s="41"/>
      <c r="G174" s="41"/>
      <c r="H174" s="40"/>
      <c r="I174" s="40"/>
      <c r="J174" s="40"/>
      <c r="K174" s="40"/>
      <c r="L174" s="41"/>
      <c r="M174" s="39"/>
      <c r="N174" s="39"/>
      <c r="O174" s="39"/>
    </row>
    <row r="175" spans="1:15" s="3" customFormat="1" ht="12.75">
      <c r="A175" s="39"/>
      <c r="B175" s="41"/>
      <c r="C175" s="41"/>
      <c r="D175" s="41"/>
      <c r="E175" s="41"/>
      <c r="F175" s="41"/>
      <c r="G175" s="41"/>
      <c r="H175" s="40"/>
      <c r="I175" s="40"/>
      <c r="J175" s="40"/>
      <c r="K175" s="40"/>
      <c r="L175" s="41"/>
      <c r="M175" s="39"/>
      <c r="N175" s="39"/>
      <c r="O175" s="39"/>
    </row>
    <row r="176" spans="1:15" s="3" customFormat="1" ht="12.75">
      <c r="A176" s="39"/>
      <c r="B176" s="41"/>
      <c r="C176" s="41"/>
      <c r="D176" s="41"/>
      <c r="E176" s="41"/>
      <c r="F176" s="41"/>
      <c r="G176" s="41"/>
      <c r="H176" s="40"/>
      <c r="I176" s="40"/>
      <c r="J176" s="40"/>
      <c r="K176" s="40"/>
      <c r="L176" s="41"/>
      <c r="M176" s="39"/>
      <c r="N176" s="39"/>
      <c r="O176" s="39"/>
    </row>
    <row r="177" spans="1:15" s="3" customFormat="1" ht="12.75">
      <c r="A177" s="39"/>
      <c r="B177" s="41"/>
      <c r="C177" s="41"/>
      <c r="D177" s="41"/>
      <c r="E177" s="41"/>
      <c r="F177" s="41"/>
      <c r="G177" s="41"/>
      <c r="H177" s="40"/>
      <c r="I177" s="40"/>
      <c r="J177" s="40"/>
      <c r="K177" s="40"/>
      <c r="L177" s="41"/>
      <c r="M177" s="39"/>
      <c r="N177" s="39"/>
      <c r="O177" s="39"/>
    </row>
    <row r="178" spans="1:15" s="3" customFormat="1" ht="12.75">
      <c r="A178" s="39"/>
      <c r="B178" s="41"/>
      <c r="C178" s="41"/>
      <c r="D178" s="41"/>
      <c r="E178" s="41"/>
      <c r="F178" s="41"/>
      <c r="G178" s="41"/>
      <c r="H178" s="40"/>
      <c r="I178" s="40"/>
      <c r="J178" s="40"/>
      <c r="K178" s="40"/>
      <c r="L178" s="41"/>
      <c r="M178" s="39"/>
      <c r="N178" s="39"/>
      <c r="O178" s="39"/>
    </row>
    <row r="179" spans="1:15" s="3" customFormat="1" ht="12.75">
      <c r="A179" s="39"/>
      <c r="B179" s="41"/>
      <c r="C179" s="41"/>
      <c r="D179" s="41"/>
      <c r="E179" s="41"/>
      <c r="F179" s="41"/>
      <c r="G179" s="41"/>
      <c r="H179" s="40"/>
      <c r="I179" s="40"/>
      <c r="J179" s="40"/>
      <c r="K179" s="40"/>
      <c r="L179" s="41"/>
      <c r="M179" s="39"/>
      <c r="N179" s="39"/>
      <c r="O179" s="39"/>
    </row>
    <row r="180" spans="1:15" s="3" customFormat="1" ht="12.75">
      <c r="A180" s="39"/>
      <c r="B180" s="41"/>
      <c r="C180" s="41"/>
      <c r="D180" s="41"/>
      <c r="E180" s="41"/>
      <c r="F180" s="41"/>
      <c r="G180" s="41"/>
      <c r="H180" s="40"/>
      <c r="I180" s="40"/>
      <c r="J180" s="40"/>
      <c r="K180" s="40"/>
      <c r="L180" s="41"/>
      <c r="M180" s="39"/>
      <c r="N180" s="39"/>
      <c r="O180" s="39"/>
    </row>
    <row r="181" spans="1:15" s="3" customFormat="1" ht="12.75">
      <c r="A181" s="39"/>
      <c r="B181" s="41"/>
      <c r="C181" s="41"/>
      <c r="D181" s="41"/>
      <c r="E181" s="41"/>
      <c r="F181" s="41"/>
      <c r="G181" s="41"/>
      <c r="H181" s="40"/>
      <c r="I181" s="40"/>
      <c r="J181" s="40"/>
      <c r="K181" s="40"/>
      <c r="L181" s="41"/>
      <c r="M181" s="39"/>
      <c r="N181" s="39"/>
      <c r="O181" s="39"/>
    </row>
    <row r="182" spans="1:15" s="3" customFormat="1" ht="12.75">
      <c r="A182" s="39"/>
      <c r="B182" s="41"/>
      <c r="C182" s="41"/>
      <c r="D182" s="41"/>
      <c r="E182" s="41"/>
      <c r="F182" s="41"/>
      <c r="G182" s="41"/>
      <c r="H182" s="40"/>
      <c r="I182" s="40"/>
      <c r="J182" s="40"/>
      <c r="K182" s="40"/>
      <c r="L182" s="41"/>
      <c r="M182" s="39"/>
      <c r="N182" s="39"/>
      <c r="O182" s="39"/>
    </row>
    <row r="183" spans="1:15" s="3" customFormat="1" ht="12.75">
      <c r="A183" s="39"/>
      <c r="B183" s="41"/>
      <c r="C183" s="41"/>
      <c r="D183" s="41"/>
      <c r="E183" s="41"/>
      <c r="F183" s="41"/>
      <c r="G183" s="41"/>
      <c r="H183" s="40"/>
      <c r="I183" s="40"/>
      <c r="J183" s="40"/>
      <c r="K183" s="40"/>
      <c r="L183" s="41"/>
      <c r="M183" s="39"/>
      <c r="N183" s="39"/>
      <c r="O183" s="39"/>
    </row>
    <row r="184" spans="1:15" s="3" customFormat="1" ht="12.75">
      <c r="A184" s="39"/>
      <c r="B184" s="41"/>
      <c r="C184" s="41"/>
      <c r="D184" s="41"/>
      <c r="E184" s="41"/>
      <c r="F184" s="41"/>
      <c r="G184" s="41"/>
      <c r="H184" s="40"/>
      <c r="I184" s="40"/>
      <c r="J184" s="40"/>
      <c r="K184" s="40"/>
      <c r="L184" s="41"/>
      <c r="M184" s="39"/>
      <c r="N184" s="39"/>
      <c r="O184" s="39"/>
    </row>
    <row r="185" spans="1:15" s="3" customFormat="1" ht="12.75">
      <c r="A185" s="39"/>
      <c r="B185" s="41"/>
      <c r="C185" s="41"/>
      <c r="D185" s="41"/>
      <c r="E185" s="41"/>
      <c r="F185" s="41"/>
      <c r="G185" s="41"/>
      <c r="H185" s="40"/>
      <c r="I185" s="40"/>
      <c r="J185" s="40"/>
      <c r="K185" s="40"/>
      <c r="L185" s="41"/>
      <c r="M185" s="39"/>
      <c r="N185" s="39"/>
      <c r="O185" s="39"/>
    </row>
    <row r="186" spans="1:15" s="3" customFormat="1" ht="12.75">
      <c r="A186" s="39"/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</row>
    <row r="187" spans="1:15" s="3" customFormat="1" ht="12.75">
      <c r="A187" s="39"/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</row>
    <row r="188" spans="1:15" s="3" customFormat="1" ht="12.75">
      <c r="A188" s="39"/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</row>
    <row r="189" spans="1:15" s="3" customFormat="1" ht="12.75">
      <c r="A189" s="39"/>
      <c r="B189" s="39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</row>
    <row r="190" spans="1:15" s="3" customFormat="1" ht="12.75">
      <c r="A190" s="39"/>
      <c r="B190" s="39"/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</row>
    <row r="191" spans="1:15" s="3" customFormat="1" ht="12.75">
      <c r="A191" s="39"/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</row>
    <row r="192" spans="1:15" s="3" customFormat="1" ht="12.75">
      <c r="A192" s="39"/>
      <c r="B192" s="39"/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</row>
    <row r="193" spans="1:15" s="3" customFormat="1" ht="12.75">
      <c r="A193" s="39"/>
      <c r="B193" s="39"/>
      <c r="C193" s="39"/>
      <c r="D193" s="39"/>
      <c r="M193" s="39"/>
      <c r="N193" s="39"/>
      <c r="O193" s="39"/>
    </row>
    <row r="194" spans="1:15" s="3" customFormat="1" ht="12.75">
      <c r="A194" s="39"/>
      <c r="B194" s="39"/>
      <c r="C194" s="39"/>
      <c r="D194" s="39"/>
      <c r="M194" s="39"/>
      <c r="N194" s="39"/>
      <c r="O194" s="39"/>
    </row>
    <row r="195" spans="1:15" s="3" customFormat="1" ht="12.75">
      <c r="A195" s="39"/>
      <c r="B195" s="39"/>
      <c r="C195" s="39"/>
      <c r="D195" s="39"/>
      <c r="M195" s="39"/>
      <c r="N195" s="39"/>
      <c r="O195" s="39"/>
    </row>
    <row r="196" spans="1:15" s="3" customFormat="1" ht="12.75">
      <c r="A196" s="39"/>
      <c r="B196" s="39"/>
      <c r="C196" s="39"/>
      <c r="D196" s="39"/>
      <c r="M196" s="39"/>
      <c r="N196" s="39"/>
      <c r="O196" s="39"/>
    </row>
    <row r="197" spans="1:15" s="3" customFormat="1" ht="12.75">
      <c r="A197" s="39"/>
      <c r="B197" s="39"/>
      <c r="C197" s="39"/>
      <c r="D197" s="39"/>
      <c r="M197" s="39"/>
      <c r="N197" s="39"/>
      <c r="O197" s="39"/>
    </row>
    <row r="198" spans="1:15" s="3" customFormat="1" ht="12.75">
      <c r="A198" s="39"/>
      <c r="B198" s="39"/>
      <c r="C198" s="39"/>
      <c r="D198" s="39"/>
      <c r="M198" s="39"/>
      <c r="N198" s="39"/>
      <c r="O198" s="39"/>
    </row>
    <row r="199" spans="1:15" s="3" customFormat="1" ht="12.75">
      <c r="A199" s="39"/>
      <c r="B199" s="39"/>
      <c r="C199" s="39"/>
      <c r="D199" s="39"/>
      <c r="M199" s="39"/>
      <c r="N199" s="39"/>
      <c r="O199" s="39"/>
    </row>
    <row r="200" spans="1:15" s="3" customFormat="1" ht="12.75">
      <c r="A200" s="39"/>
      <c r="B200" s="39"/>
      <c r="C200" s="39"/>
      <c r="D200" s="39"/>
      <c r="M200" s="39"/>
      <c r="N200" s="39"/>
      <c r="O200" s="39"/>
    </row>
    <row r="201" spans="1:15" s="3" customFormat="1" ht="12.75">
      <c r="A201" s="39"/>
      <c r="B201" s="39"/>
      <c r="C201" s="39"/>
      <c r="D201" s="39"/>
      <c r="M201" s="39"/>
      <c r="N201" s="39"/>
      <c r="O201" s="39"/>
    </row>
    <row r="202" spans="1:15" s="3" customFormat="1" ht="12.75">
      <c r="A202" s="39"/>
      <c r="B202" s="39"/>
      <c r="C202" s="39"/>
      <c r="D202" s="39"/>
      <c r="M202" s="39"/>
      <c r="N202" s="39"/>
      <c r="O202" s="39"/>
    </row>
    <row r="203" spans="1:15" s="3" customFormat="1" ht="12.75">
      <c r="A203" s="39"/>
      <c r="B203" s="39"/>
      <c r="C203" s="39"/>
      <c r="D203" s="39"/>
      <c r="M203" s="39"/>
      <c r="N203" s="39"/>
      <c r="O203" s="39"/>
    </row>
    <row r="204" spans="1:15" s="3" customFormat="1" ht="12.75">
      <c r="A204" s="39"/>
      <c r="B204" s="39"/>
      <c r="C204" s="39"/>
      <c r="D204" s="39"/>
      <c r="M204" s="39"/>
      <c r="N204" s="39"/>
      <c r="O204" s="39"/>
    </row>
    <row r="205" spans="1:15" s="3" customFormat="1" ht="12.75">
      <c r="A205" s="39"/>
      <c r="B205" s="39"/>
      <c r="C205" s="39"/>
      <c r="D205" s="39"/>
      <c r="M205" s="39"/>
      <c r="N205" s="39"/>
      <c r="O205" s="39"/>
    </row>
    <row r="206" s="3" customFormat="1" ht="12.75"/>
    <row r="207" s="3" customFormat="1" ht="12.75"/>
    <row r="208" s="3" customFormat="1" ht="12.75"/>
    <row r="209" s="3" customFormat="1" ht="12.75"/>
    <row r="210" s="3" customFormat="1" ht="12.75"/>
  </sheetData>
  <sheetProtection selectLockedCells="1" selectUnlockedCells="1"/>
  <mergeCells count="63">
    <mergeCell ref="B135:C135"/>
    <mergeCell ref="A99:I100"/>
    <mergeCell ref="A101:I103"/>
    <mergeCell ref="J22:M22"/>
    <mergeCell ref="A94:I94"/>
    <mergeCell ref="A95:I95"/>
    <mergeCell ref="A96:I96"/>
    <mergeCell ref="A97:I97"/>
    <mergeCell ref="A98:I98"/>
    <mergeCell ref="B18:C18"/>
    <mergeCell ref="D18:I18"/>
    <mergeCell ref="B19:C19"/>
    <mergeCell ref="A22:A23"/>
    <mergeCell ref="B22:C22"/>
    <mergeCell ref="D22:E22"/>
    <mergeCell ref="F22:G22"/>
    <mergeCell ref="H22:I22"/>
    <mergeCell ref="B14:C14"/>
    <mergeCell ref="D14:E14"/>
    <mergeCell ref="F14:G14"/>
    <mergeCell ref="H14:I14"/>
    <mergeCell ref="A17:C17"/>
    <mergeCell ref="A16:C16"/>
    <mergeCell ref="B12:C12"/>
    <mergeCell ref="D12:E12"/>
    <mergeCell ref="F12:G12"/>
    <mergeCell ref="H12:I12"/>
    <mergeCell ref="B13:C13"/>
    <mergeCell ref="D13:E13"/>
    <mergeCell ref="F13:G13"/>
    <mergeCell ref="H13:I13"/>
    <mergeCell ref="B10:C10"/>
    <mergeCell ref="D10:E10"/>
    <mergeCell ref="F10:G10"/>
    <mergeCell ref="H10:I10"/>
    <mergeCell ref="B11:C11"/>
    <mergeCell ref="D11:E11"/>
    <mergeCell ref="F11:G11"/>
    <mergeCell ref="H11:I11"/>
    <mergeCell ref="B8:C8"/>
    <mergeCell ref="D8:E8"/>
    <mergeCell ref="F8:G8"/>
    <mergeCell ref="H8:I8"/>
    <mergeCell ref="B9:C9"/>
    <mergeCell ref="D9:E9"/>
    <mergeCell ref="F9:G9"/>
    <mergeCell ref="H9:I9"/>
    <mergeCell ref="B6:C6"/>
    <mergeCell ref="D6:E6"/>
    <mergeCell ref="F6:G6"/>
    <mergeCell ref="H6:I6"/>
    <mergeCell ref="B7:C7"/>
    <mergeCell ref="D7:E7"/>
    <mergeCell ref="F7:G7"/>
    <mergeCell ref="H7:I7"/>
    <mergeCell ref="A1:D1"/>
    <mergeCell ref="A2:I2"/>
    <mergeCell ref="A4:A5"/>
    <mergeCell ref="B4:I4"/>
    <mergeCell ref="B5:C5"/>
    <mergeCell ref="D5:E5"/>
    <mergeCell ref="F5:G5"/>
    <mergeCell ref="H5:I5"/>
  </mergeCells>
  <dataValidations count="20">
    <dataValidation type="list" allowBlank="1" showInputMessage="1" showErrorMessage="1" sqref="H14:I14">
      <formula1>CEXUI</formula1>
    </dataValidation>
    <dataValidation type="list" allowBlank="1" showInputMessage="1" showErrorMessage="1" sqref="F14:G14">
      <formula1>IANCJ</formula1>
    </dataValidation>
    <dataValidation type="list" allowBlank="1" showInputMessage="1" showErrorMessage="1" sqref="D14:E14">
      <formula1>MUGNQ</formula1>
    </dataValidation>
    <dataValidation type="list" allowBlank="1" showInputMessage="1" showErrorMessage="1" sqref="B14:C14">
      <formula1>BTYPS</formula1>
    </dataValidation>
    <dataValidation type="list" allowBlank="1" showInputMessage="1" showErrorMessage="1" sqref="A17:C17">
      <formula1>XLPKA</formula1>
    </dataValidation>
    <dataValidation type="list" allowBlank="1" showInputMessage="1" showErrorMessage="1" sqref="H13:I13">
      <formula1>WHMSA</formula1>
    </dataValidation>
    <dataValidation type="list" allowBlank="1" showInputMessage="1" showErrorMessage="1" sqref="F13:G13">
      <formula1>FIGQB</formula1>
    </dataValidation>
    <dataValidation type="list" allowBlank="1" showInputMessage="1" showErrorMessage="1" sqref="D13:E13">
      <formula1>VNIHD</formula1>
    </dataValidation>
    <dataValidation type="list" allowBlank="1" showInputMessage="1" showErrorMessage="1" sqref="B13:C13">
      <formula1>QPAFE</formula1>
    </dataValidation>
    <dataValidation type="list" allowBlank="1" showInputMessage="1" showErrorMessage="1" sqref="H12:I12">
      <formula1>OGGLT</formula1>
    </dataValidation>
    <dataValidation type="list" allowBlank="1" showInputMessage="1" showErrorMessage="1" sqref="F12:G12">
      <formula1>TAYYL</formula1>
    </dataValidation>
    <dataValidation type="list" allowBlank="1" showInputMessage="1" showErrorMessage="1" sqref="D12:E12">
      <formula1>PSAXR</formula1>
    </dataValidation>
    <dataValidation type="list" allowBlank="1" showInputMessage="1" showErrorMessage="1" sqref="B12:C12">
      <formula1>GQIBE</formula1>
    </dataValidation>
    <dataValidation type="list" allowBlank="1" showInputMessage="1" showErrorMessage="1" sqref="B11 D11 F11 H11">
      <formula1>"да, нет"</formula1>
    </dataValidation>
    <dataValidation type="decimal" operator="lessThanOrEqual" allowBlank="1" showInputMessage="1" showErrorMessage="1" sqref="H7 B7 D7 F7">
      <formula1>3</formula1>
    </dataValidation>
    <dataValidation type="list" allowBlank="1" showInputMessage="1" showErrorMessage="1" sqref="B6:C6">
      <formula1>CBUAQ</formula1>
    </dataValidation>
    <dataValidation type="list" allowBlank="1" showInputMessage="1" showErrorMessage="1" sqref="D6:E6">
      <formula1>RCUTI</formula1>
    </dataValidation>
    <dataValidation type="list" allowBlank="1" showInputMessage="1" showErrorMessage="1" sqref="F6:G6">
      <formula1>TTAIM</formula1>
    </dataValidation>
    <dataValidation type="list" allowBlank="1" showInputMessage="1" showErrorMessage="1" sqref="H6:I6">
      <formula1>KPHTG</formula1>
    </dataValidation>
    <dataValidation type="list" allowBlank="1" showInputMessage="1" showErrorMessage="1" sqref="A16:C16">
      <formula1>"Российская Федерация, Республика Беларусь"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2" fitToWidth="1" horizontalDpi="300" verticalDpi="300" orientation="portrait" paperSize="9" scale="59" r:id="rId2"/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V216"/>
  <sheetViews>
    <sheetView zoomScale="85" zoomScaleNormal="85" zoomScalePageLayoutView="0" workbookViewId="0" topLeftCell="A61">
      <selection activeCell="L76" sqref="L76"/>
    </sheetView>
  </sheetViews>
  <sheetFormatPr defaultColWidth="9.140625" defaultRowHeight="15"/>
  <cols>
    <col min="1" max="1" width="34.140625" style="0" customWidth="1"/>
    <col min="2" max="2" width="11.421875" style="0" customWidth="1"/>
    <col min="4" max="4" width="13.28125" style="0" customWidth="1"/>
    <col min="5" max="5" width="15.140625" style="0" customWidth="1"/>
    <col min="6" max="6" width="24.421875" style="0" customWidth="1"/>
    <col min="7" max="7" width="22.421875" style="0" customWidth="1"/>
    <col min="9" max="9" width="11.7109375" style="0" customWidth="1"/>
    <col min="10" max="10" width="11.421875" style="0" customWidth="1"/>
    <col min="11" max="11" width="11.28125" style="0" customWidth="1"/>
    <col min="12" max="12" width="11.7109375" style="0" customWidth="1"/>
    <col min="13" max="13" width="10.8515625" style="0" customWidth="1"/>
    <col min="14" max="14" width="11.140625" style="0" customWidth="1"/>
  </cols>
  <sheetData>
    <row r="1" ht="18.75">
      <c r="A1" s="187" t="s">
        <v>228</v>
      </c>
    </row>
    <row r="2" spans="1:12" ht="15">
      <c r="A2" s="2"/>
      <c r="B2" s="2"/>
      <c r="C2" s="2"/>
      <c r="D2" s="2"/>
      <c r="E2" s="2"/>
      <c r="F2" s="2"/>
      <c r="G2" s="2"/>
      <c r="H2" s="14"/>
      <c r="I2" s="2"/>
      <c r="J2" s="2"/>
      <c r="K2" s="2"/>
      <c r="L2" s="2"/>
    </row>
    <row r="3" spans="1:12" ht="15">
      <c r="A3" s="98" t="s">
        <v>232</v>
      </c>
      <c r="B3" s="195" t="s">
        <v>150</v>
      </c>
      <c r="C3" s="195"/>
      <c r="D3" s="2"/>
      <c r="E3" s="2"/>
      <c r="F3" s="98" t="s">
        <v>232</v>
      </c>
      <c r="G3" s="98" t="s">
        <v>150</v>
      </c>
      <c r="I3" s="2"/>
      <c r="J3" s="2"/>
      <c r="K3" s="2"/>
      <c r="L3" s="2"/>
    </row>
    <row r="4" spans="1:12" ht="25.5">
      <c r="A4" s="89" t="s">
        <v>115</v>
      </c>
      <c r="B4" s="89" t="s">
        <v>115</v>
      </c>
      <c r="C4" s="116" t="s">
        <v>16</v>
      </c>
      <c r="D4" s="2"/>
      <c r="E4" s="2"/>
      <c r="F4" s="89" t="s">
        <v>348</v>
      </c>
      <c r="G4" s="89" t="s">
        <v>348</v>
      </c>
      <c r="I4" s="2"/>
      <c r="J4" s="2"/>
      <c r="K4" s="2"/>
      <c r="L4" s="2"/>
    </row>
    <row r="5" spans="1:12" ht="15">
      <c r="A5" s="31">
        <v>0</v>
      </c>
      <c r="B5" s="31">
        <v>0</v>
      </c>
      <c r="C5" s="31">
        <v>0</v>
      </c>
      <c r="D5" s="2"/>
      <c r="E5" s="2"/>
      <c r="F5" s="93" t="s">
        <v>349</v>
      </c>
      <c r="G5" s="93" t="s">
        <v>349</v>
      </c>
      <c r="I5" s="2"/>
      <c r="J5" s="2"/>
      <c r="K5" s="2"/>
      <c r="L5" s="2"/>
    </row>
    <row r="6" spans="1:12" ht="15">
      <c r="A6" s="30">
        <v>0.58</v>
      </c>
      <c r="B6" s="31">
        <v>0.5</v>
      </c>
      <c r="C6" s="31">
        <v>5</v>
      </c>
      <c r="D6" s="2"/>
      <c r="E6" s="2"/>
      <c r="F6" s="90" t="s">
        <v>91</v>
      </c>
      <c r="G6" s="90" t="s">
        <v>91</v>
      </c>
      <c r="I6" s="2"/>
      <c r="J6" s="2"/>
      <c r="K6" s="2"/>
      <c r="L6" s="2"/>
    </row>
    <row r="7" spans="1:12" ht="15">
      <c r="A7" s="30">
        <v>0.69</v>
      </c>
      <c r="B7" s="31">
        <v>0.6</v>
      </c>
      <c r="C7" s="31">
        <v>6</v>
      </c>
      <c r="D7" s="2"/>
      <c r="E7" s="2"/>
      <c r="F7" s="2"/>
      <c r="G7" s="2"/>
      <c r="H7" s="2"/>
      <c r="I7" s="2"/>
      <c r="J7" s="2"/>
      <c r="K7" s="2"/>
      <c r="L7" s="2"/>
    </row>
    <row r="8" spans="1:12" ht="15">
      <c r="A8" s="30">
        <v>0.8</v>
      </c>
      <c r="B8" s="31">
        <v>0.7</v>
      </c>
      <c r="C8" s="31">
        <v>7</v>
      </c>
      <c r="D8" s="2"/>
      <c r="E8" s="2"/>
      <c r="F8" s="2"/>
      <c r="G8" s="2"/>
      <c r="H8" s="2"/>
      <c r="I8" s="2"/>
      <c r="J8" s="2"/>
      <c r="K8" s="2"/>
      <c r="L8" s="2"/>
    </row>
    <row r="9" spans="1:12" ht="15">
      <c r="A9" s="30">
        <v>0.91</v>
      </c>
      <c r="B9" s="31">
        <v>0.8</v>
      </c>
      <c r="C9" s="31">
        <v>8</v>
      </c>
      <c r="D9" s="2"/>
      <c r="E9" s="2"/>
      <c r="H9" s="2"/>
      <c r="I9" s="2"/>
      <c r="J9" s="2"/>
      <c r="K9" s="2"/>
      <c r="L9" s="2"/>
    </row>
    <row r="10" spans="1:12" ht="15">
      <c r="A10" s="30">
        <v>1.02</v>
      </c>
      <c r="B10" s="31">
        <v>0.9</v>
      </c>
      <c r="C10" s="31">
        <v>9</v>
      </c>
      <c r="D10" s="2"/>
      <c r="E10" s="2"/>
      <c r="H10" s="2"/>
      <c r="I10" s="2"/>
      <c r="J10" s="2"/>
      <c r="K10" s="2"/>
      <c r="L10" s="2"/>
    </row>
    <row r="11" spans="1:12" ht="15">
      <c r="A11" s="30">
        <v>1.13</v>
      </c>
      <c r="B11" s="31">
        <v>1</v>
      </c>
      <c r="C11" s="31">
        <v>10</v>
      </c>
      <c r="D11" s="2"/>
      <c r="J11" s="2"/>
      <c r="K11" s="2"/>
      <c r="L11" s="2"/>
    </row>
    <row r="12" spans="1:12" ht="15">
      <c r="A12" s="30">
        <v>1.24</v>
      </c>
      <c r="B12" s="31">
        <v>1.1</v>
      </c>
      <c r="C12" s="31">
        <v>11</v>
      </c>
      <c r="D12" s="2"/>
      <c r="E12" s="2"/>
      <c r="F12" s="2"/>
      <c r="G12" s="2"/>
      <c r="H12" s="2"/>
      <c r="I12" s="2"/>
      <c r="J12" s="2"/>
      <c r="K12" s="2"/>
      <c r="L12" s="2"/>
    </row>
    <row r="13" spans="1:12" ht="15">
      <c r="A13" s="30">
        <v>1.35</v>
      </c>
      <c r="B13" s="31">
        <v>1.2</v>
      </c>
      <c r="C13" s="31">
        <v>12</v>
      </c>
      <c r="D13" s="2"/>
      <c r="E13" s="2"/>
      <c r="F13" s="2"/>
      <c r="G13" s="2"/>
      <c r="H13" s="2"/>
      <c r="I13" s="2"/>
      <c r="J13" s="2"/>
      <c r="K13" s="2"/>
      <c r="L13" s="2"/>
    </row>
    <row r="14" spans="1:12" ht="15">
      <c r="A14" s="30">
        <v>1.46</v>
      </c>
      <c r="B14" s="31">
        <v>1.3</v>
      </c>
      <c r="C14" s="31">
        <v>13</v>
      </c>
      <c r="D14" s="2"/>
      <c r="E14" s="2"/>
      <c r="F14" s="2"/>
      <c r="G14" s="2"/>
      <c r="H14" s="2"/>
      <c r="I14" s="2"/>
      <c r="J14" s="2"/>
      <c r="K14" s="2"/>
      <c r="L14" s="2"/>
    </row>
    <row r="15" spans="1:12" ht="15">
      <c r="A15" s="30">
        <v>1.57</v>
      </c>
      <c r="B15" s="31">
        <v>1.4</v>
      </c>
      <c r="C15" s="31">
        <v>14</v>
      </c>
      <c r="D15" s="2"/>
      <c r="E15" s="2"/>
      <c r="F15" s="2"/>
      <c r="G15" s="2"/>
      <c r="H15" s="2"/>
      <c r="I15" s="2"/>
      <c r="J15" s="2"/>
      <c r="K15" s="2"/>
      <c r="L15" s="2"/>
    </row>
    <row r="16" spans="1:12" ht="15">
      <c r="A16" s="30">
        <v>1.68</v>
      </c>
      <c r="B16" s="31">
        <v>1.5</v>
      </c>
      <c r="C16" s="31">
        <v>15</v>
      </c>
      <c r="D16" s="2"/>
      <c r="E16" s="2"/>
      <c r="F16" s="2"/>
      <c r="G16" s="2"/>
      <c r="H16" s="2"/>
      <c r="I16" s="2"/>
      <c r="J16" s="2"/>
      <c r="K16" s="2"/>
      <c r="L16" s="2"/>
    </row>
    <row r="17" spans="1:12" ht="15">
      <c r="A17" s="30">
        <v>1.79</v>
      </c>
      <c r="B17" s="31">
        <v>1.6</v>
      </c>
      <c r="C17" s="31">
        <v>16</v>
      </c>
      <c r="D17" s="2"/>
      <c r="E17" s="2"/>
      <c r="F17" s="2"/>
      <c r="G17" s="2"/>
      <c r="H17" s="2"/>
      <c r="I17" s="2"/>
      <c r="J17" s="2"/>
      <c r="K17" s="2"/>
      <c r="L17" s="2"/>
    </row>
    <row r="18" spans="1:12" ht="15">
      <c r="A18" s="30">
        <v>1.9</v>
      </c>
      <c r="B18" s="31">
        <v>1.7</v>
      </c>
      <c r="C18" s="31">
        <v>17</v>
      </c>
      <c r="D18" s="2"/>
      <c r="E18" s="2"/>
      <c r="F18" s="2"/>
      <c r="G18" s="2"/>
      <c r="H18" s="2"/>
      <c r="I18" s="2"/>
      <c r="J18" s="2"/>
      <c r="K18" s="2"/>
      <c r="L18" s="2"/>
    </row>
    <row r="19" spans="1:12" ht="15">
      <c r="A19" s="30">
        <v>2.01</v>
      </c>
      <c r="B19" s="31">
        <v>1.8</v>
      </c>
      <c r="C19" s="31">
        <v>18</v>
      </c>
      <c r="D19" s="2"/>
      <c r="E19" s="2"/>
      <c r="F19" s="2"/>
      <c r="G19" s="2"/>
      <c r="H19" s="2"/>
      <c r="I19" s="2"/>
      <c r="J19" s="2"/>
      <c r="K19" s="2"/>
      <c r="L19" s="2"/>
    </row>
    <row r="20" spans="1:12" ht="15">
      <c r="A20" s="30">
        <f aca="true" t="shared" si="0" ref="A20:A28">A19+0.11</f>
        <v>2.1199999999999997</v>
      </c>
      <c r="B20" s="31">
        <v>1.9</v>
      </c>
      <c r="C20" s="31">
        <v>19</v>
      </c>
      <c r="D20" s="2"/>
      <c r="E20" s="2"/>
      <c r="F20" s="2"/>
      <c r="G20" s="2"/>
      <c r="H20" s="2"/>
      <c r="I20" s="2"/>
      <c r="J20" s="2"/>
      <c r="K20" s="2"/>
      <c r="L20" s="2"/>
    </row>
    <row r="21" spans="1:12" ht="15">
      <c r="A21" s="30">
        <f t="shared" si="0"/>
        <v>2.2299999999999995</v>
      </c>
      <c r="B21" s="31">
        <v>2</v>
      </c>
      <c r="C21" s="31">
        <v>20</v>
      </c>
      <c r="D21" s="2"/>
      <c r="E21" s="2"/>
      <c r="F21" s="2"/>
      <c r="G21" s="2"/>
      <c r="H21" s="2"/>
      <c r="I21" s="2"/>
      <c r="J21" s="2"/>
      <c r="K21" s="2"/>
      <c r="L21" s="2"/>
    </row>
    <row r="22" spans="1:12" ht="15">
      <c r="A22" s="30">
        <f t="shared" si="0"/>
        <v>2.3399999999999994</v>
      </c>
      <c r="B22" s="31">
        <v>2.1</v>
      </c>
      <c r="C22" s="31">
        <v>21</v>
      </c>
      <c r="D22" s="2"/>
      <c r="E22" s="2"/>
      <c r="F22" s="2"/>
      <c r="G22" s="2"/>
      <c r="H22" s="2"/>
      <c r="I22" s="2"/>
      <c r="J22" s="2"/>
      <c r="K22" s="2"/>
      <c r="L22" s="2"/>
    </row>
    <row r="23" spans="1:12" ht="15">
      <c r="A23" s="30">
        <f t="shared" si="0"/>
        <v>2.4499999999999993</v>
      </c>
      <c r="B23" s="31">
        <v>2.2</v>
      </c>
      <c r="C23" s="31">
        <v>22</v>
      </c>
      <c r="D23" s="2"/>
      <c r="E23" s="2"/>
      <c r="F23" s="2"/>
      <c r="G23" s="2"/>
      <c r="H23" s="2"/>
      <c r="I23" s="2"/>
      <c r="J23" s="2"/>
      <c r="K23" s="2"/>
      <c r="L23" s="2"/>
    </row>
    <row r="24" spans="1:12" ht="15">
      <c r="A24" s="30">
        <f t="shared" si="0"/>
        <v>2.559999999999999</v>
      </c>
      <c r="B24" s="31">
        <v>2.3</v>
      </c>
      <c r="C24" s="31">
        <v>23</v>
      </c>
      <c r="D24" s="2"/>
      <c r="E24" s="2"/>
      <c r="F24" s="2"/>
      <c r="G24" s="2"/>
      <c r="H24" s="2"/>
      <c r="I24" s="2"/>
      <c r="J24" s="2"/>
      <c r="K24" s="2"/>
      <c r="L24" s="2"/>
    </row>
    <row r="25" spans="1:12" ht="15">
      <c r="A25" s="30">
        <f t="shared" si="0"/>
        <v>2.669999999999999</v>
      </c>
      <c r="B25" s="31">
        <v>2.4</v>
      </c>
      <c r="C25" s="31">
        <v>24</v>
      </c>
      <c r="D25" s="2"/>
      <c r="E25" s="2"/>
      <c r="F25" s="2"/>
      <c r="G25" s="2"/>
      <c r="H25" s="2"/>
      <c r="I25" s="2"/>
      <c r="J25" s="2"/>
      <c r="K25" s="2"/>
      <c r="L25" s="2"/>
    </row>
    <row r="26" spans="1:12" ht="15">
      <c r="A26" s="30">
        <f t="shared" si="0"/>
        <v>2.779999999999999</v>
      </c>
      <c r="B26" s="31">
        <v>2.5</v>
      </c>
      <c r="C26" s="31">
        <v>25</v>
      </c>
      <c r="D26" s="2"/>
      <c r="E26" s="2"/>
      <c r="F26" s="2"/>
      <c r="G26" s="2"/>
      <c r="H26" s="2"/>
      <c r="I26" s="2"/>
      <c r="J26" s="2"/>
      <c r="K26" s="2"/>
      <c r="L26" s="2"/>
    </row>
    <row r="27" spans="1:12" ht="15">
      <c r="A27" s="30">
        <f t="shared" si="0"/>
        <v>2.889999999999999</v>
      </c>
      <c r="B27" s="31">
        <v>2.6</v>
      </c>
      <c r="C27" s="31">
        <v>26</v>
      </c>
      <c r="D27" s="2"/>
      <c r="E27" s="2"/>
      <c r="F27" s="2"/>
      <c r="G27" s="2"/>
      <c r="H27" s="2"/>
      <c r="I27" s="2"/>
      <c r="J27" s="2"/>
      <c r="K27" s="2"/>
      <c r="L27" s="2"/>
    </row>
    <row r="28" spans="1:12" ht="15">
      <c r="A28" s="30">
        <f t="shared" si="0"/>
        <v>2.9999999999999987</v>
      </c>
      <c r="B28" s="31">
        <v>2.7</v>
      </c>
      <c r="C28" s="31">
        <v>27</v>
      </c>
      <c r="D28" s="2"/>
      <c r="E28" s="2"/>
      <c r="F28" s="2"/>
      <c r="G28" s="2"/>
      <c r="H28" s="2"/>
      <c r="I28" s="2"/>
      <c r="J28" s="2"/>
      <c r="K28" s="2"/>
      <c r="L28" s="2"/>
    </row>
    <row r="29" spans="1:12" ht="15">
      <c r="A29" s="30"/>
      <c r="B29" s="31">
        <v>2.8</v>
      </c>
      <c r="C29" s="31">
        <v>28</v>
      </c>
      <c r="D29" s="2"/>
      <c r="E29" s="2"/>
      <c r="F29" s="2"/>
      <c r="G29" s="2"/>
      <c r="H29" s="2"/>
      <c r="I29" s="2"/>
      <c r="J29" s="2"/>
      <c r="K29" s="2"/>
      <c r="L29" s="2"/>
    </row>
    <row r="30" spans="1:12" ht="15">
      <c r="A30" s="30"/>
      <c r="B30" s="31">
        <v>2.9</v>
      </c>
      <c r="C30" s="31">
        <v>29</v>
      </c>
      <c r="D30" s="2"/>
      <c r="E30" s="2"/>
      <c r="F30" s="2"/>
      <c r="G30" s="2"/>
      <c r="H30" s="2"/>
      <c r="I30" s="2"/>
      <c r="J30" s="2"/>
      <c r="K30" s="2"/>
      <c r="L30" s="2"/>
    </row>
    <row r="31" spans="1:12" ht="15">
      <c r="A31" s="30"/>
      <c r="B31" s="31">
        <v>3</v>
      </c>
      <c r="C31" s="31">
        <v>30</v>
      </c>
      <c r="D31" s="2"/>
      <c r="E31" s="2"/>
      <c r="F31" s="2"/>
      <c r="G31" s="2"/>
      <c r="H31" s="2"/>
      <c r="I31" s="2"/>
      <c r="J31" s="2"/>
      <c r="K31" s="2"/>
      <c r="L31" s="2"/>
    </row>
    <row r="32" spans="1:12" ht="15">
      <c r="A32" s="17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3" ht="15">
      <c r="A33" s="71">
        <v>1</v>
      </c>
      <c r="B33" s="72">
        <v>2</v>
      </c>
      <c r="C33" s="72">
        <v>3</v>
      </c>
      <c r="D33" s="72">
        <v>4</v>
      </c>
      <c r="E33" s="72">
        <v>5</v>
      </c>
      <c r="F33" s="72">
        <v>6</v>
      </c>
      <c r="G33" s="72">
        <v>7</v>
      </c>
      <c r="H33" s="72">
        <v>8</v>
      </c>
      <c r="I33" s="72">
        <v>9</v>
      </c>
      <c r="J33" s="72">
        <v>10</v>
      </c>
      <c r="K33" s="72">
        <v>11</v>
      </c>
      <c r="L33" s="72">
        <v>12</v>
      </c>
      <c r="M33" s="72">
        <v>13</v>
      </c>
    </row>
    <row r="34" spans="1:13" ht="38.25">
      <c r="A34" s="114" t="s">
        <v>116</v>
      </c>
      <c r="B34" s="89" t="s">
        <v>216</v>
      </c>
      <c r="C34" s="89" t="s">
        <v>219</v>
      </c>
      <c r="D34" s="89" t="s">
        <v>117</v>
      </c>
      <c r="E34" s="89" t="s">
        <v>31</v>
      </c>
      <c r="F34" s="89" t="s">
        <v>118</v>
      </c>
      <c r="G34" s="89" t="s">
        <v>89</v>
      </c>
      <c r="H34" s="89" t="s">
        <v>119</v>
      </c>
      <c r="I34" s="89" t="s">
        <v>94</v>
      </c>
      <c r="J34" s="89" t="s">
        <v>97</v>
      </c>
      <c r="K34" s="89" t="s">
        <v>343</v>
      </c>
      <c r="L34" s="89" t="s">
        <v>217</v>
      </c>
      <c r="M34" s="89" t="s">
        <v>218</v>
      </c>
    </row>
    <row r="35" spans="1:13" ht="15">
      <c r="A35" s="90" t="s">
        <v>91</v>
      </c>
      <c r="B35" s="30">
        <v>0</v>
      </c>
      <c r="C35" s="31">
        <v>0</v>
      </c>
      <c r="D35" s="31" t="s">
        <v>28</v>
      </c>
      <c r="E35" s="30">
        <v>0</v>
      </c>
      <c r="F35" s="31" t="s">
        <v>28</v>
      </c>
      <c r="G35" s="30">
        <v>0</v>
      </c>
      <c r="H35" s="31" t="s">
        <v>28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</row>
    <row r="36" spans="1:13" ht="15">
      <c r="A36" s="90" t="s">
        <v>40</v>
      </c>
      <c r="B36" s="30">
        <v>13</v>
      </c>
      <c r="C36" s="31">
        <v>15</v>
      </c>
      <c r="D36" s="31">
        <v>0.83</v>
      </c>
      <c r="E36" s="30">
        <v>2</v>
      </c>
      <c r="F36" s="31">
        <v>1.5</v>
      </c>
      <c r="G36" s="30">
        <v>1</v>
      </c>
      <c r="H36" s="31">
        <v>0.86</v>
      </c>
      <c r="I36" s="30">
        <v>1</v>
      </c>
      <c r="J36" s="30">
        <v>0</v>
      </c>
      <c r="K36" s="30">
        <v>0</v>
      </c>
      <c r="L36" s="30">
        <v>24</v>
      </c>
      <c r="M36" s="30">
        <v>32</v>
      </c>
    </row>
    <row r="37" spans="1:13" ht="15">
      <c r="A37" s="90" t="s">
        <v>319</v>
      </c>
      <c r="B37" s="30">
        <v>13</v>
      </c>
      <c r="C37" s="31">
        <v>15</v>
      </c>
      <c r="D37" s="31">
        <v>1.34</v>
      </c>
      <c r="E37" s="30">
        <v>2</v>
      </c>
      <c r="F37" s="31">
        <v>1.5</v>
      </c>
      <c r="G37" s="30">
        <v>1</v>
      </c>
      <c r="H37" s="31">
        <v>1.37</v>
      </c>
      <c r="I37" s="30">
        <v>1</v>
      </c>
      <c r="J37" s="30">
        <v>0</v>
      </c>
      <c r="K37" s="30">
        <v>0</v>
      </c>
      <c r="L37" s="30">
        <v>24</v>
      </c>
      <c r="M37" s="30">
        <v>32</v>
      </c>
    </row>
    <row r="38" spans="1:13" ht="15">
      <c r="A38" s="90" t="s">
        <v>42</v>
      </c>
      <c r="B38" s="30">
        <v>16</v>
      </c>
      <c r="C38" s="31">
        <v>18</v>
      </c>
      <c r="D38" s="31">
        <v>0.83</v>
      </c>
      <c r="E38" s="30">
        <v>2</v>
      </c>
      <c r="F38" s="31">
        <v>1.83</v>
      </c>
      <c r="G38" s="30">
        <v>1</v>
      </c>
      <c r="H38" s="31">
        <v>0.86</v>
      </c>
      <c r="I38" s="30">
        <v>0</v>
      </c>
      <c r="J38" s="30">
        <v>1</v>
      </c>
      <c r="K38" s="30">
        <v>0</v>
      </c>
      <c r="L38" s="30">
        <v>26</v>
      </c>
      <c r="M38" s="30">
        <v>34</v>
      </c>
    </row>
    <row r="39" spans="1:13" ht="15">
      <c r="A39" s="90" t="s">
        <v>320</v>
      </c>
      <c r="B39" s="30">
        <v>16</v>
      </c>
      <c r="C39" s="31">
        <v>18</v>
      </c>
      <c r="D39" s="31">
        <v>1.34</v>
      </c>
      <c r="E39" s="30">
        <v>2</v>
      </c>
      <c r="F39" s="31">
        <v>1.83</v>
      </c>
      <c r="G39" s="30">
        <v>1</v>
      </c>
      <c r="H39" s="31">
        <v>1.37</v>
      </c>
      <c r="I39" s="30">
        <v>0</v>
      </c>
      <c r="J39" s="30">
        <v>1</v>
      </c>
      <c r="K39" s="30">
        <v>0</v>
      </c>
      <c r="L39" s="30">
        <v>26</v>
      </c>
      <c r="M39" s="30">
        <v>34</v>
      </c>
    </row>
    <row r="40" spans="1:13" ht="15">
      <c r="A40" s="90" t="s">
        <v>321</v>
      </c>
      <c r="B40" s="30">
        <v>20</v>
      </c>
      <c r="C40" s="31">
        <v>23</v>
      </c>
      <c r="D40" s="31">
        <v>0.83</v>
      </c>
      <c r="E40" s="30">
        <v>2</v>
      </c>
      <c r="F40" s="31">
        <v>2.33</v>
      </c>
      <c r="G40" s="30">
        <v>1</v>
      </c>
      <c r="H40" s="31">
        <v>0.86</v>
      </c>
      <c r="I40" s="30">
        <v>0</v>
      </c>
      <c r="J40" s="30">
        <v>0</v>
      </c>
      <c r="K40" s="30">
        <v>1</v>
      </c>
      <c r="L40" s="30">
        <v>100</v>
      </c>
      <c r="M40" s="30">
        <v>112</v>
      </c>
    </row>
    <row r="41" spans="1:13" ht="38.25">
      <c r="A41" s="115" t="s">
        <v>95</v>
      </c>
      <c r="B41" s="89" t="s">
        <v>216</v>
      </c>
      <c r="C41" s="89" t="s">
        <v>219</v>
      </c>
      <c r="D41" s="89" t="s">
        <v>117</v>
      </c>
      <c r="E41" s="89" t="s">
        <v>31</v>
      </c>
      <c r="F41" s="89" t="s">
        <v>118</v>
      </c>
      <c r="G41" s="89" t="s">
        <v>89</v>
      </c>
      <c r="H41" s="89" t="s">
        <v>119</v>
      </c>
      <c r="I41" s="89" t="s">
        <v>94</v>
      </c>
      <c r="J41" s="89" t="s">
        <v>97</v>
      </c>
      <c r="K41" s="89" t="s">
        <v>343</v>
      </c>
      <c r="L41" s="89" t="s">
        <v>217</v>
      </c>
      <c r="M41" s="89" t="s">
        <v>218</v>
      </c>
    </row>
    <row r="42" spans="1:13" ht="15">
      <c r="A42" s="90" t="s">
        <v>91</v>
      </c>
      <c r="B42" s="30">
        <v>0</v>
      </c>
      <c r="C42" s="31">
        <v>0</v>
      </c>
      <c r="D42" s="31" t="s">
        <v>28</v>
      </c>
      <c r="E42" s="30">
        <v>0</v>
      </c>
      <c r="F42" s="31" t="s">
        <v>28</v>
      </c>
      <c r="G42" s="30">
        <v>0</v>
      </c>
      <c r="H42" s="31" t="s">
        <v>28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</row>
    <row r="43" spans="1:13" ht="15">
      <c r="A43" s="90" t="s">
        <v>45</v>
      </c>
      <c r="B43" s="30">
        <v>26</v>
      </c>
      <c r="C43" s="31">
        <v>30</v>
      </c>
      <c r="D43" s="31">
        <v>1.64</v>
      </c>
      <c r="E43" s="30">
        <v>4</v>
      </c>
      <c r="F43" s="31">
        <v>1.5</v>
      </c>
      <c r="G43" s="30">
        <v>2</v>
      </c>
      <c r="H43" s="31">
        <v>1.67</v>
      </c>
      <c r="I43" s="30">
        <v>2</v>
      </c>
      <c r="J43" s="30">
        <v>0</v>
      </c>
      <c r="K43" s="30">
        <v>0</v>
      </c>
      <c r="L43" s="30">
        <v>50</v>
      </c>
      <c r="M43" s="30">
        <v>66</v>
      </c>
    </row>
    <row r="44" spans="1:13" ht="15">
      <c r="A44" s="90" t="s">
        <v>322</v>
      </c>
      <c r="B44" s="30">
        <v>26</v>
      </c>
      <c r="C44" s="31">
        <v>30</v>
      </c>
      <c r="D44" s="31">
        <v>1.84</v>
      </c>
      <c r="E44" s="30">
        <v>4</v>
      </c>
      <c r="F44" s="31">
        <v>1.5</v>
      </c>
      <c r="G44" s="30">
        <v>2</v>
      </c>
      <c r="H44" s="31">
        <v>1.87</v>
      </c>
      <c r="I44" s="30">
        <v>2</v>
      </c>
      <c r="J44" s="30">
        <v>0</v>
      </c>
      <c r="K44" s="30">
        <v>0</v>
      </c>
      <c r="L44" s="30">
        <v>50</v>
      </c>
      <c r="M44" s="30">
        <v>66</v>
      </c>
    </row>
    <row r="45" spans="1:13" ht="15">
      <c r="A45" s="90" t="s">
        <v>46</v>
      </c>
      <c r="B45" s="30">
        <v>32</v>
      </c>
      <c r="C45" s="31">
        <v>36</v>
      </c>
      <c r="D45" s="31">
        <v>1.64</v>
      </c>
      <c r="E45" s="30">
        <v>4</v>
      </c>
      <c r="F45" s="31">
        <v>1.83</v>
      </c>
      <c r="G45" s="30">
        <v>2</v>
      </c>
      <c r="H45" s="31">
        <v>1.67</v>
      </c>
      <c r="I45" s="30">
        <v>0</v>
      </c>
      <c r="J45" s="30">
        <v>2</v>
      </c>
      <c r="K45" s="30">
        <v>0</v>
      </c>
      <c r="L45" s="30">
        <v>54</v>
      </c>
      <c r="M45" s="30">
        <v>70</v>
      </c>
    </row>
    <row r="46" spans="1:13" ht="15">
      <c r="A46" s="90" t="s">
        <v>323</v>
      </c>
      <c r="B46" s="30">
        <v>32</v>
      </c>
      <c r="C46" s="31">
        <v>36</v>
      </c>
      <c r="D46" s="31">
        <v>1.83</v>
      </c>
      <c r="E46" s="30">
        <v>4</v>
      </c>
      <c r="F46" s="31">
        <v>1.83</v>
      </c>
      <c r="G46" s="30">
        <v>2</v>
      </c>
      <c r="H46" s="31">
        <v>1.87</v>
      </c>
      <c r="I46" s="30">
        <v>0</v>
      </c>
      <c r="J46" s="30">
        <v>2</v>
      </c>
      <c r="K46" s="30">
        <v>0</v>
      </c>
      <c r="L46" s="30">
        <v>54</v>
      </c>
      <c r="M46" s="30">
        <v>70</v>
      </c>
    </row>
    <row r="47" spans="1:13" ht="15">
      <c r="A47" s="90" t="s">
        <v>47</v>
      </c>
      <c r="B47" s="30">
        <v>24</v>
      </c>
      <c r="C47" s="31">
        <v>28</v>
      </c>
      <c r="D47" s="31">
        <v>1.64</v>
      </c>
      <c r="E47" s="30">
        <v>4</v>
      </c>
      <c r="F47" s="31">
        <v>1.39</v>
      </c>
      <c r="G47" s="30">
        <v>2</v>
      </c>
      <c r="H47" s="31">
        <v>1.67</v>
      </c>
      <c r="I47" s="30">
        <v>0</v>
      </c>
      <c r="J47" s="30">
        <v>0</v>
      </c>
      <c r="K47" s="30">
        <v>0</v>
      </c>
      <c r="L47" s="30">
        <v>34</v>
      </c>
      <c r="M47" s="30">
        <v>50</v>
      </c>
    </row>
    <row r="48" spans="1:13" ht="15">
      <c r="A48" s="90" t="s">
        <v>49</v>
      </c>
      <c r="B48" s="30">
        <v>24</v>
      </c>
      <c r="C48" s="31">
        <v>28</v>
      </c>
      <c r="D48" s="31">
        <v>1.9</v>
      </c>
      <c r="E48" s="30">
        <v>4</v>
      </c>
      <c r="F48" s="31">
        <v>1.39</v>
      </c>
      <c r="G48" s="30">
        <v>2</v>
      </c>
      <c r="H48" s="31">
        <v>1.93</v>
      </c>
      <c r="I48" s="30">
        <v>0</v>
      </c>
      <c r="J48" s="30">
        <v>0</v>
      </c>
      <c r="K48" s="30">
        <v>0</v>
      </c>
      <c r="L48" s="30">
        <v>34</v>
      </c>
      <c r="M48" s="30">
        <v>50</v>
      </c>
    </row>
    <row r="49" spans="1:13" ht="15">
      <c r="A49" s="90" t="s">
        <v>51</v>
      </c>
      <c r="B49" s="30">
        <v>24</v>
      </c>
      <c r="C49" s="31">
        <v>28</v>
      </c>
      <c r="D49" s="31">
        <v>2.1</v>
      </c>
      <c r="E49" s="30">
        <v>4</v>
      </c>
      <c r="F49" s="31">
        <v>1.39</v>
      </c>
      <c r="G49" s="30">
        <v>2</v>
      </c>
      <c r="H49" s="31">
        <v>2.13</v>
      </c>
      <c r="I49" s="30">
        <v>0</v>
      </c>
      <c r="J49" s="30">
        <v>0</v>
      </c>
      <c r="K49" s="30">
        <v>0</v>
      </c>
      <c r="L49" s="30">
        <v>36</v>
      </c>
      <c r="M49" s="30">
        <v>52</v>
      </c>
    </row>
    <row r="50" spans="1:13" ht="15">
      <c r="A50" s="90" t="s">
        <v>53</v>
      </c>
      <c r="B50" s="30">
        <v>30</v>
      </c>
      <c r="C50" s="31">
        <v>34</v>
      </c>
      <c r="D50" s="31">
        <v>1.64</v>
      </c>
      <c r="E50" s="30">
        <v>4</v>
      </c>
      <c r="F50" s="31">
        <v>1.72</v>
      </c>
      <c r="G50" s="30">
        <v>2</v>
      </c>
      <c r="H50" s="31">
        <v>1.67</v>
      </c>
      <c r="I50" s="30">
        <v>0</v>
      </c>
      <c r="J50" s="30">
        <v>0</v>
      </c>
      <c r="K50" s="30">
        <v>0</v>
      </c>
      <c r="L50" s="30">
        <v>38</v>
      </c>
      <c r="M50" s="30">
        <v>54</v>
      </c>
    </row>
    <row r="51" spans="1:13" ht="15">
      <c r="A51" s="90" t="s">
        <v>55</v>
      </c>
      <c r="B51" s="30">
        <v>30</v>
      </c>
      <c r="C51" s="31">
        <v>34</v>
      </c>
      <c r="D51" s="31">
        <v>1.9</v>
      </c>
      <c r="E51" s="30">
        <v>4</v>
      </c>
      <c r="F51" s="31">
        <v>1.72</v>
      </c>
      <c r="G51" s="30">
        <v>2</v>
      </c>
      <c r="H51" s="31">
        <v>1.93</v>
      </c>
      <c r="I51" s="30">
        <v>0</v>
      </c>
      <c r="J51" s="30">
        <v>0</v>
      </c>
      <c r="K51" s="30">
        <v>0</v>
      </c>
      <c r="L51" s="30">
        <v>38</v>
      </c>
      <c r="M51" s="30">
        <v>54</v>
      </c>
    </row>
    <row r="52" spans="1:13" ht="15">
      <c r="A52" s="90" t="s">
        <v>58</v>
      </c>
      <c r="B52" s="30">
        <v>30</v>
      </c>
      <c r="C52" s="31">
        <v>34</v>
      </c>
      <c r="D52" s="31">
        <v>2.1</v>
      </c>
      <c r="E52" s="30">
        <v>4</v>
      </c>
      <c r="F52" s="31">
        <v>1.72</v>
      </c>
      <c r="G52" s="30">
        <v>2</v>
      </c>
      <c r="H52" s="31">
        <v>2.13</v>
      </c>
      <c r="I52" s="30">
        <v>0</v>
      </c>
      <c r="J52" s="30">
        <v>0</v>
      </c>
      <c r="K52" s="30">
        <v>0</v>
      </c>
      <c r="L52" s="30">
        <v>40</v>
      </c>
      <c r="M52" s="30">
        <v>56</v>
      </c>
    </row>
    <row r="53" spans="1:13" ht="15">
      <c r="A53" s="90" t="s">
        <v>324</v>
      </c>
      <c r="B53" s="30">
        <v>38</v>
      </c>
      <c r="C53" s="31">
        <v>44</v>
      </c>
      <c r="D53" s="31">
        <v>1.9</v>
      </c>
      <c r="E53" s="30">
        <v>4</v>
      </c>
      <c r="F53" s="31">
        <v>2.18</v>
      </c>
      <c r="G53" s="30">
        <v>2</v>
      </c>
      <c r="H53" s="31">
        <v>1.93</v>
      </c>
      <c r="I53" s="30">
        <v>0</v>
      </c>
      <c r="J53" s="30">
        <v>0</v>
      </c>
      <c r="K53" s="30">
        <v>0</v>
      </c>
      <c r="L53" s="30">
        <v>172</v>
      </c>
      <c r="M53" s="30">
        <v>176</v>
      </c>
    </row>
    <row r="54" spans="1:13" ht="15">
      <c r="A54" s="90" t="s">
        <v>60</v>
      </c>
      <c r="B54" s="30">
        <v>24</v>
      </c>
      <c r="C54" s="31">
        <v>28</v>
      </c>
      <c r="D54" s="31">
        <v>1.64</v>
      </c>
      <c r="E54" s="30">
        <v>4</v>
      </c>
      <c r="F54" s="31">
        <v>1.39</v>
      </c>
      <c r="G54" s="30">
        <v>2</v>
      </c>
      <c r="H54" s="31">
        <v>1.67</v>
      </c>
      <c r="I54" s="30">
        <v>0</v>
      </c>
      <c r="J54" s="30">
        <v>0</v>
      </c>
      <c r="K54" s="30">
        <v>0</v>
      </c>
      <c r="L54" s="30">
        <v>34</v>
      </c>
      <c r="M54" s="30">
        <v>50</v>
      </c>
    </row>
    <row r="55" spans="1:13" ht="15">
      <c r="A55" s="90" t="s">
        <v>63</v>
      </c>
      <c r="B55" s="30">
        <v>24</v>
      </c>
      <c r="C55" s="31">
        <v>28</v>
      </c>
      <c r="D55" s="31">
        <v>1.9</v>
      </c>
      <c r="E55" s="30">
        <v>4</v>
      </c>
      <c r="F55" s="31">
        <v>1.39</v>
      </c>
      <c r="G55" s="30">
        <v>2</v>
      </c>
      <c r="H55" s="31">
        <v>1.93</v>
      </c>
      <c r="I55" s="30">
        <v>0</v>
      </c>
      <c r="J55" s="30">
        <v>0</v>
      </c>
      <c r="K55" s="30">
        <v>0</v>
      </c>
      <c r="L55" s="30">
        <v>34</v>
      </c>
      <c r="M55" s="30">
        <v>50</v>
      </c>
    </row>
    <row r="56" spans="1:13" ht="15">
      <c r="A56" s="90" t="s">
        <v>64</v>
      </c>
      <c r="B56" s="30">
        <v>24</v>
      </c>
      <c r="C56" s="31">
        <v>28</v>
      </c>
      <c r="D56" s="31">
        <v>2.1</v>
      </c>
      <c r="E56" s="30">
        <v>4</v>
      </c>
      <c r="F56" s="31">
        <v>1.39</v>
      </c>
      <c r="G56" s="30">
        <v>2</v>
      </c>
      <c r="H56" s="31">
        <v>2.13</v>
      </c>
      <c r="I56" s="30">
        <v>0</v>
      </c>
      <c r="J56" s="30">
        <v>0</v>
      </c>
      <c r="K56" s="30">
        <v>0</v>
      </c>
      <c r="L56" s="30">
        <v>36</v>
      </c>
      <c r="M56" s="30">
        <v>52</v>
      </c>
    </row>
    <row r="57" spans="1:13" ht="15">
      <c r="A57" s="90" t="s">
        <v>70</v>
      </c>
      <c r="B57" s="30">
        <v>30</v>
      </c>
      <c r="C57" s="31">
        <v>34</v>
      </c>
      <c r="D57" s="31">
        <v>1.64</v>
      </c>
      <c r="E57" s="30">
        <v>4</v>
      </c>
      <c r="F57" s="31">
        <v>1.72</v>
      </c>
      <c r="G57" s="30">
        <v>2</v>
      </c>
      <c r="H57" s="31">
        <v>1.67</v>
      </c>
      <c r="I57" s="30">
        <v>0</v>
      </c>
      <c r="J57" s="30">
        <v>0</v>
      </c>
      <c r="K57" s="30">
        <v>0</v>
      </c>
      <c r="L57" s="30">
        <v>38</v>
      </c>
      <c r="M57" s="30">
        <v>54</v>
      </c>
    </row>
    <row r="58" spans="1:13" ht="15">
      <c r="A58" s="90" t="s">
        <v>77</v>
      </c>
      <c r="B58" s="30">
        <v>30</v>
      </c>
      <c r="C58" s="31">
        <v>34</v>
      </c>
      <c r="D58" s="31">
        <v>1.9</v>
      </c>
      <c r="E58" s="30">
        <v>4</v>
      </c>
      <c r="F58" s="31">
        <v>1.72</v>
      </c>
      <c r="G58" s="30">
        <v>2</v>
      </c>
      <c r="H58" s="31">
        <v>1.93</v>
      </c>
      <c r="I58" s="30">
        <v>0</v>
      </c>
      <c r="J58" s="30">
        <v>0</v>
      </c>
      <c r="K58" s="30">
        <v>0</v>
      </c>
      <c r="L58" s="30">
        <v>38</v>
      </c>
      <c r="M58" s="30">
        <v>54</v>
      </c>
    </row>
    <row r="59" spans="1:13" ht="15">
      <c r="A59" s="90" t="s">
        <v>79</v>
      </c>
      <c r="B59" s="30">
        <v>30</v>
      </c>
      <c r="C59" s="31">
        <v>34</v>
      </c>
      <c r="D59" s="31">
        <v>2.1</v>
      </c>
      <c r="E59" s="30">
        <v>4</v>
      </c>
      <c r="F59" s="31">
        <v>1.72</v>
      </c>
      <c r="G59" s="30">
        <v>2</v>
      </c>
      <c r="H59" s="31">
        <v>2.13</v>
      </c>
      <c r="I59" s="30">
        <v>0</v>
      </c>
      <c r="J59" s="30">
        <v>0</v>
      </c>
      <c r="K59" s="30">
        <v>0</v>
      </c>
      <c r="L59" s="30">
        <v>40</v>
      </c>
      <c r="M59" s="30">
        <v>56</v>
      </c>
    </row>
    <row r="62" spans="1:13" ht="18.75">
      <c r="A62" s="187" t="s">
        <v>229</v>
      </c>
      <c r="J62" s="6"/>
      <c r="K62" s="6"/>
      <c r="L62" s="6"/>
      <c r="M62" s="6"/>
    </row>
    <row r="63" spans="1:13" ht="15">
      <c r="A63" s="69"/>
      <c r="J63" s="17"/>
      <c r="K63" s="17"/>
      <c r="L63" s="17"/>
      <c r="M63" s="17"/>
    </row>
    <row r="64" spans="1:13" ht="15">
      <c r="A64" s="94" t="s">
        <v>267</v>
      </c>
      <c r="J64" s="17"/>
      <c r="L64" s="17"/>
      <c r="M64" s="17"/>
    </row>
    <row r="65" spans="1:13" ht="15">
      <c r="A65" s="94" t="s">
        <v>224</v>
      </c>
      <c r="J65" s="17"/>
      <c r="L65" s="17"/>
      <c r="M65" s="17"/>
    </row>
    <row r="66" spans="1:13" ht="15">
      <c r="A66" s="95"/>
      <c r="J66" s="17"/>
      <c r="L66" s="17"/>
      <c r="M66" s="17"/>
    </row>
    <row r="67" spans="1:13" ht="15">
      <c r="A67" s="94" t="s">
        <v>28</v>
      </c>
      <c r="J67" s="17"/>
      <c r="L67" s="17"/>
      <c r="M67" s="17"/>
    </row>
    <row r="68" spans="1:13" ht="15">
      <c r="A68" s="94" t="s">
        <v>268</v>
      </c>
      <c r="J68" s="17"/>
      <c r="K68" s="17"/>
      <c r="L68" s="17"/>
      <c r="M68" s="17"/>
    </row>
    <row r="69" spans="1:13" ht="15">
      <c r="A69" s="94" t="s">
        <v>269</v>
      </c>
      <c r="J69" s="17"/>
      <c r="K69" s="17"/>
      <c r="L69" s="17"/>
      <c r="M69" s="17"/>
    </row>
    <row r="70" spans="1:13" ht="15">
      <c r="A70" s="69"/>
      <c r="J70" s="17"/>
      <c r="K70" s="17"/>
      <c r="L70" s="17"/>
      <c r="M70" s="17"/>
    </row>
    <row r="71" spans="1:13" ht="15">
      <c r="A71" s="69"/>
      <c r="J71" s="17"/>
      <c r="K71" s="17"/>
      <c r="L71" s="17"/>
      <c r="M71" s="17"/>
    </row>
    <row r="72" spans="1:9" ht="15">
      <c r="A72" s="72">
        <v>1</v>
      </c>
      <c r="B72" s="72">
        <v>2</v>
      </c>
      <c r="C72" s="72">
        <v>3</v>
      </c>
      <c r="D72" s="72">
        <v>4</v>
      </c>
      <c r="E72" s="72">
        <v>5</v>
      </c>
      <c r="F72" s="72">
        <v>6</v>
      </c>
      <c r="G72" s="72">
        <v>7</v>
      </c>
      <c r="I72" t="s">
        <v>369</v>
      </c>
    </row>
    <row r="73" spans="1:12" ht="25.5">
      <c r="A73" s="236" t="s">
        <v>134</v>
      </c>
      <c r="B73" s="236" t="s">
        <v>135</v>
      </c>
      <c r="C73" s="236" t="s">
        <v>136</v>
      </c>
      <c r="D73" s="89" t="s">
        <v>137</v>
      </c>
      <c r="E73" s="89" t="s">
        <v>138</v>
      </c>
      <c r="F73" s="89" t="s">
        <v>137</v>
      </c>
      <c r="G73" s="89" t="s">
        <v>138</v>
      </c>
      <c r="I73" s="89" t="s">
        <v>368</v>
      </c>
      <c r="J73" s="89" t="s">
        <v>370</v>
      </c>
      <c r="K73" s="89" t="s">
        <v>371</v>
      </c>
      <c r="L73" s="89" t="s">
        <v>372</v>
      </c>
    </row>
    <row r="74" spans="1:12" ht="15">
      <c r="A74" s="236"/>
      <c r="B74" s="236"/>
      <c r="C74" s="236"/>
      <c r="D74" s="236" t="s">
        <v>139</v>
      </c>
      <c r="E74" s="236"/>
      <c r="F74" s="236" t="s">
        <v>140</v>
      </c>
      <c r="G74" s="236"/>
      <c r="I74" s="93">
        <v>125</v>
      </c>
      <c r="J74" s="93">
        <v>2.04</v>
      </c>
      <c r="K74" s="93">
        <v>25</v>
      </c>
      <c r="L74" s="93">
        <v>13</v>
      </c>
    </row>
    <row r="75" spans="1:12" ht="15">
      <c r="A75" s="91">
        <v>0</v>
      </c>
      <c r="B75" s="30">
        <v>0</v>
      </c>
      <c r="C75" s="30" t="s">
        <v>28</v>
      </c>
      <c r="D75" s="30">
        <v>0</v>
      </c>
      <c r="E75" s="30" t="s">
        <v>28</v>
      </c>
      <c r="F75" s="30">
        <v>0</v>
      </c>
      <c r="G75" s="30" t="s">
        <v>28</v>
      </c>
      <c r="I75" s="93">
        <v>150</v>
      </c>
      <c r="J75" s="93">
        <v>2.11</v>
      </c>
      <c r="K75" s="93">
        <v>50</v>
      </c>
      <c r="L75" s="93">
        <v>10</v>
      </c>
    </row>
    <row r="76" spans="1:7" ht="15">
      <c r="A76" s="91">
        <v>1</v>
      </c>
      <c r="B76" s="30">
        <v>6</v>
      </c>
      <c r="C76" s="30">
        <v>41.7</v>
      </c>
      <c r="D76" s="30">
        <v>5</v>
      </c>
      <c r="E76" s="30">
        <v>50</v>
      </c>
      <c r="F76" s="30">
        <v>5</v>
      </c>
      <c r="G76" s="30">
        <v>50</v>
      </c>
    </row>
    <row r="77" spans="1:7" ht="15">
      <c r="A77" s="91">
        <v>1.05</v>
      </c>
      <c r="B77" s="30">
        <v>7</v>
      </c>
      <c r="C77" s="30">
        <v>25</v>
      </c>
      <c r="D77" s="30">
        <v>6</v>
      </c>
      <c r="E77" s="30">
        <v>25</v>
      </c>
      <c r="F77" s="30">
        <v>5</v>
      </c>
      <c r="G77" s="30">
        <v>60</v>
      </c>
    </row>
    <row r="78" spans="1:7" ht="15">
      <c r="A78" s="91">
        <v>1.1</v>
      </c>
      <c r="B78" s="30">
        <v>7</v>
      </c>
      <c r="C78" s="30">
        <v>32.1</v>
      </c>
      <c r="D78" s="30">
        <v>6</v>
      </c>
      <c r="E78" s="30">
        <v>33.3</v>
      </c>
      <c r="F78" s="30">
        <v>5</v>
      </c>
      <c r="G78" s="30">
        <v>70</v>
      </c>
    </row>
    <row r="79" spans="1:7" ht="15">
      <c r="A79" s="91">
        <v>1.15</v>
      </c>
      <c r="B79" s="30">
        <v>7</v>
      </c>
      <c r="C79" s="30">
        <v>39.3</v>
      </c>
      <c r="D79" s="30">
        <v>6</v>
      </c>
      <c r="E79" s="30">
        <v>41.7</v>
      </c>
      <c r="F79" s="30">
        <v>5</v>
      </c>
      <c r="G79" s="30">
        <v>80</v>
      </c>
    </row>
    <row r="80" spans="1:7" ht="15">
      <c r="A80" s="91">
        <v>1.2</v>
      </c>
      <c r="B80" s="30">
        <v>8</v>
      </c>
      <c r="C80" s="30">
        <v>25</v>
      </c>
      <c r="D80" s="30">
        <v>6</v>
      </c>
      <c r="E80" s="30">
        <v>50</v>
      </c>
      <c r="F80" s="30">
        <v>6</v>
      </c>
      <c r="G80" s="30">
        <v>50</v>
      </c>
    </row>
    <row r="81" spans="1:7" ht="15">
      <c r="A81" s="91">
        <v>1.25</v>
      </c>
      <c r="B81" s="30">
        <v>8</v>
      </c>
      <c r="C81" s="30">
        <v>31.3</v>
      </c>
      <c r="D81" s="30">
        <v>7</v>
      </c>
      <c r="E81" s="30">
        <v>28.6</v>
      </c>
      <c r="F81" s="30">
        <v>6</v>
      </c>
      <c r="G81" s="30">
        <v>58.3</v>
      </c>
    </row>
    <row r="82" spans="1:7" ht="15">
      <c r="A82" s="91">
        <v>1.3</v>
      </c>
      <c r="B82" s="30">
        <v>8</v>
      </c>
      <c r="C82" s="30">
        <v>37.5</v>
      </c>
      <c r="D82" s="30">
        <v>7</v>
      </c>
      <c r="E82" s="30">
        <v>35.7</v>
      </c>
      <c r="F82" s="30">
        <v>6</v>
      </c>
      <c r="G82" s="30">
        <v>66.7</v>
      </c>
    </row>
    <row r="83" spans="1:7" ht="15">
      <c r="A83" s="91">
        <v>1.35</v>
      </c>
      <c r="B83" s="30">
        <v>9</v>
      </c>
      <c r="C83" s="30">
        <v>25</v>
      </c>
      <c r="D83" s="30">
        <v>7</v>
      </c>
      <c r="E83" s="30">
        <v>42.9</v>
      </c>
      <c r="F83" s="30">
        <v>6</v>
      </c>
      <c r="G83" s="30">
        <v>75</v>
      </c>
    </row>
    <row r="84" spans="1:7" ht="15">
      <c r="A84" s="91">
        <v>1.4</v>
      </c>
      <c r="B84" s="30">
        <v>9</v>
      </c>
      <c r="C84" s="30">
        <v>30.6</v>
      </c>
      <c r="D84" s="30">
        <v>8</v>
      </c>
      <c r="E84" s="30">
        <v>25</v>
      </c>
      <c r="F84" s="30">
        <v>7</v>
      </c>
      <c r="G84" s="30">
        <v>50</v>
      </c>
    </row>
    <row r="85" spans="1:7" ht="15">
      <c r="A85" s="91">
        <v>1.45</v>
      </c>
      <c r="B85" s="30">
        <v>9</v>
      </c>
      <c r="C85" s="30">
        <v>36.1</v>
      </c>
      <c r="D85" s="30">
        <v>8</v>
      </c>
      <c r="E85" s="30">
        <v>31.3</v>
      </c>
      <c r="F85" s="30">
        <v>7</v>
      </c>
      <c r="G85" s="30">
        <v>57.1</v>
      </c>
    </row>
    <row r="86" spans="1:7" ht="15">
      <c r="A86" s="91">
        <v>1.5</v>
      </c>
      <c r="B86" s="30">
        <v>10</v>
      </c>
      <c r="C86" s="30">
        <v>25</v>
      </c>
      <c r="D86" s="30">
        <v>8</v>
      </c>
      <c r="E86" s="30">
        <v>37.5</v>
      </c>
      <c r="F86" s="30">
        <v>7</v>
      </c>
      <c r="G86" s="30">
        <v>64.3</v>
      </c>
    </row>
    <row r="87" spans="1:7" ht="15">
      <c r="A87" s="91">
        <v>1.55</v>
      </c>
      <c r="B87" s="30">
        <v>10</v>
      </c>
      <c r="C87" s="30">
        <v>30</v>
      </c>
      <c r="D87" s="30">
        <v>8</v>
      </c>
      <c r="E87" s="30">
        <v>43.8</v>
      </c>
      <c r="F87" s="30">
        <v>7</v>
      </c>
      <c r="G87" s="30">
        <v>71.4</v>
      </c>
    </row>
    <row r="88" spans="1:7" ht="15">
      <c r="A88" s="91">
        <v>1.6</v>
      </c>
      <c r="B88" s="30">
        <v>10</v>
      </c>
      <c r="C88" s="30">
        <v>35</v>
      </c>
      <c r="D88" s="30">
        <v>9</v>
      </c>
      <c r="E88" s="30">
        <v>27.8</v>
      </c>
      <c r="F88" s="30">
        <v>8</v>
      </c>
      <c r="G88" s="30">
        <v>50</v>
      </c>
    </row>
    <row r="89" spans="1:7" ht="15">
      <c r="A89" s="91">
        <v>1.65</v>
      </c>
      <c r="B89" s="30">
        <v>11</v>
      </c>
      <c r="C89" s="30">
        <v>25</v>
      </c>
      <c r="D89" s="30">
        <v>9</v>
      </c>
      <c r="E89" s="30">
        <v>33.3</v>
      </c>
      <c r="F89" s="30">
        <v>8</v>
      </c>
      <c r="G89" s="30">
        <v>56.3</v>
      </c>
    </row>
    <row r="90" spans="1:7" ht="15">
      <c r="A90" s="91">
        <v>1.7</v>
      </c>
      <c r="B90" s="30">
        <v>11</v>
      </c>
      <c r="C90" s="30">
        <v>29.5</v>
      </c>
      <c r="D90" s="30">
        <v>9</v>
      </c>
      <c r="E90" s="30">
        <v>38.9</v>
      </c>
      <c r="F90" s="30">
        <v>8</v>
      </c>
      <c r="G90" s="30">
        <v>62.5</v>
      </c>
    </row>
    <row r="91" spans="1:7" ht="15">
      <c r="A91" s="91">
        <v>1.75</v>
      </c>
      <c r="B91" s="30">
        <v>11</v>
      </c>
      <c r="C91" s="30">
        <v>34.1</v>
      </c>
      <c r="D91" s="30">
        <v>10</v>
      </c>
      <c r="E91" s="30">
        <v>25</v>
      </c>
      <c r="F91" s="30">
        <v>8</v>
      </c>
      <c r="G91" s="30">
        <v>68.8</v>
      </c>
    </row>
    <row r="92" spans="1:7" ht="15">
      <c r="A92" s="91">
        <v>1.8</v>
      </c>
      <c r="B92" s="30">
        <v>12</v>
      </c>
      <c r="C92" s="30">
        <v>25</v>
      </c>
      <c r="D92" s="30">
        <v>10</v>
      </c>
      <c r="E92" s="30">
        <v>30</v>
      </c>
      <c r="F92" s="30">
        <v>9</v>
      </c>
      <c r="G92" s="30">
        <v>50</v>
      </c>
    </row>
    <row r="93" spans="1:7" ht="15">
      <c r="A93" s="91">
        <v>1.85</v>
      </c>
      <c r="B93" s="30">
        <v>12</v>
      </c>
      <c r="C93" s="30">
        <v>29.2</v>
      </c>
      <c r="D93" s="30">
        <v>10</v>
      </c>
      <c r="E93" s="30">
        <v>35</v>
      </c>
      <c r="F93" s="30">
        <v>9</v>
      </c>
      <c r="G93" s="30">
        <v>55.6</v>
      </c>
    </row>
    <row r="94" spans="1:7" ht="15">
      <c r="A94" s="91">
        <v>1.9</v>
      </c>
      <c r="B94" s="30">
        <v>12</v>
      </c>
      <c r="C94" s="30">
        <v>33.3</v>
      </c>
      <c r="D94" s="30">
        <v>10</v>
      </c>
      <c r="E94" s="30">
        <v>40</v>
      </c>
      <c r="F94" s="30">
        <v>9</v>
      </c>
      <c r="G94" s="30">
        <v>61.1</v>
      </c>
    </row>
    <row r="95" spans="1:7" ht="15">
      <c r="A95" s="91">
        <v>1.95</v>
      </c>
      <c r="B95" s="30">
        <v>13</v>
      </c>
      <c r="C95" s="30">
        <v>25</v>
      </c>
      <c r="D95" s="30">
        <v>11</v>
      </c>
      <c r="E95" s="30">
        <v>27.3</v>
      </c>
      <c r="F95" s="30">
        <v>9</v>
      </c>
      <c r="G95" s="30">
        <v>66.7</v>
      </c>
    </row>
    <row r="96" spans="1:7" ht="15">
      <c r="A96" s="91">
        <v>2</v>
      </c>
      <c r="B96" s="30">
        <v>13</v>
      </c>
      <c r="C96" s="30">
        <v>28.8</v>
      </c>
      <c r="D96" s="30">
        <v>11</v>
      </c>
      <c r="E96" s="30">
        <v>31.8</v>
      </c>
      <c r="F96" s="30">
        <v>10</v>
      </c>
      <c r="G96" s="30">
        <v>50</v>
      </c>
    </row>
    <row r="97" spans="1:7" ht="15">
      <c r="A97" s="91">
        <v>2.05</v>
      </c>
      <c r="B97" s="30">
        <v>13</v>
      </c>
      <c r="C97" s="30">
        <v>32.7</v>
      </c>
      <c r="D97" s="30">
        <v>11</v>
      </c>
      <c r="E97" s="30">
        <v>36.4</v>
      </c>
      <c r="F97" s="30">
        <v>10</v>
      </c>
      <c r="G97" s="30">
        <v>55</v>
      </c>
    </row>
    <row r="98" spans="1:7" ht="15">
      <c r="A98" s="91">
        <v>2.1</v>
      </c>
      <c r="B98" s="30">
        <v>14</v>
      </c>
      <c r="C98" s="30">
        <v>25</v>
      </c>
      <c r="D98" s="30">
        <v>12</v>
      </c>
      <c r="E98" s="30">
        <v>25</v>
      </c>
      <c r="F98" s="30">
        <v>10</v>
      </c>
      <c r="G98" s="30">
        <v>60</v>
      </c>
    </row>
    <row r="99" spans="1:7" ht="15">
      <c r="A99" s="91">
        <v>2.15</v>
      </c>
      <c r="B99" s="30">
        <v>14</v>
      </c>
      <c r="C99" s="30">
        <v>28.6</v>
      </c>
      <c r="D99" s="30">
        <v>12</v>
      </c>
      <c r="E99" s="30">
        <v>29.2</v>
      </c>
      <c r="F99" s="30">
        <v>10</v>
      </c>
      <c r="G99" s="30">
        <v>65</v>
      </c>
    </row>
    <row r="100" spans="1:7" ht="15">
      <c r="A100" s="91">
        <v>2.2</v>
      </c>
      <c r="B100" s="30">
        <v>14</v>
      </c>
      <c r="C100" s="30">
        <v>32.1</v>
      </c>
      <c r="D100" s="30">
        <v>12</v>
      </c>
      <c r="E100" s="30">
        <v>33.3</v>
      </c>
      <c r="F100" s="30">
        <v>11</v>
      </c>
      <c r="G100" s="30">
        <v>50</v>
      </c>
    </row>
    <row r="101" spans="1:7" ht="15">
      <c r="A101" s="91">
        <v>2.25</v>
      </c>
      <c r="B101" s="30">
        <v>15</v>
      </c>
      <c r="C101" s="30">
        <v>25</v>
      </c>
      <c r="D101" s="30">
        <v>12</v>
      </c>
      <c r="E101" s="30">
        <v>37.5</v>
      </c>
      <c r="F101" s="30">
        <v>11</v>
      </c>
      <c r="G101" s="30">
        <v>54.5</v>
      </c>
    </row>
    <row r="102" spans="1:7" ht="15">
      <c r="A102" s="91">
        <v>2.3</v>
      </c>
      <c r="B102" s="30">
        <v>15</v>
      </c>
      <c r="C102" s="30">
        <v>28.3</v>
      </c>
      <c r="D102" s="30">
        <v>13</v>
      </c>
      <c r="E102" s="30">
        <v>26.9</v>
      </c>
      <c r="F102" s="30">
        <v>11</v>
      </c>
      <c r="G102" s="30">
        <v>59.1</v>
      </c>
    </row>
    <row r="103" spans="1:7" ht="15">
      <c r="A103" s="91">
        <v>2.35</v>
      </c>
      <c r="B103" s="30">
        <v>15</v>
      </c>
      <c r="C103" s="30">
        <v>31.7</v>
      </c>
      <c r="D103" s="30">
        <v>13</v>
      </c>
      <c r="E103" s="30">
        <v>30.8</v>
      </c>
      <c r="F103" s="30">
        <v>11</v>
      </c>
      <c r="G103" s="30">
        <v>63.6</v>
      </c>
    </row>
    <row r="104" spans="1:7" ht="15">
      <c r="A104" s="91">
        <v>2.4</v>
      </c>
      <c r="B104" s="30">
        <v>16</v>
      </c>
      <c r="C104" s="30">
        <v>25</v>
      </c>
      <c r="D104" s="30">
        <v>13</v>
      </c>
      <c r="E104" s="30">
        <v>34.6</v>
      </c>
      <c r="F104" s="30">
        <v>12</v>
      </c>
      <c r="G104" s="30">
        <v>50</v>
      </c>
    </row>
    <row r="105" spans="1:7" ht="15">
      <c r="A105" s="91">
        <v>2.45</v>
      </c>
      <c r="B105" s="30">
        <v>16</v>
      </c>
      <c r="C105" s="30">
        <v>28.1</v>
      </c>
      <c r="D105" s="30">
        <v>14</v>
      </c>
      <c r="E105" s="30">
        <v>25</v>
      </c>
      <c r="F105" s="30">
        <v>12</v>
      </c>
      <c r="G105" s="30">
        <v>54.2</v>
      </c>
    </row>
    <row r="106" spans="1:7" ht="15">
      <c r="A106" s="91">
        <v>2.5</v>
      </c>
      <c r="B106" s="30">
        <v>16</v>
      </c>
      <c r="C106" s="30">
        <v>31.3</v>
      </c>
      <c r="D106" s="30">
        <v>14</v>
      </c>
      <c r="E106" s="30">
        <v>28.6</v>
      </c>
      <c r="F106" s="30">
        <v>12</v>
      </c>
      <c r="G106" s="30">
        <v>58.3</v>
      </c>
    </row>
    <row r="107" spans="1:7" ht="15">
      <c r="A107" s="91">
        <v>2.55</v>
      </c>
      <c r="B107" s="30">
        <v>17</v>
      </c>
      <c r="C107" s="30">
        <v>25</v>
      </c>
      <c r="D107" s="30">
        <v>14</v>
      </c>
      <c r="E107" s="30">
        <v>32.1</v>
      </c>
      <c r="F107" s="30">
        <v>12</v>
      </c>
      <c r="G107" s="30">
        <v>62.5</v>
      </c>
    </row>
    <row r="108" spans="1:7" ht="15">
      <c r="A108" s="91">
        <v>2.6</v>
      </c>
      <c r="B108" s="30">
        <v>17</v>
      </c>
      <c r="C108" s="30">
        <v>27.9</v>
      </c>
      <c r="D108" s="30">
        <v>14</v>
      </c>
      <c r="E108" s="30">
        <v>35.7</v>
      </c>
      <c r="F108" s="30">
        <v>13</v>
      </c>
      <c r="G108" s="30">
        <v>50</v>
      </c>
    </row>
    <row r="109" spans="1:7" ht="15">
      <c r="A109" s="91">
        <v>2.65</v>
      </c>
      <c r="B109" s="30">
        <v>17</v>
      </c>
      <c r="C109" s="30">
        <v>30.9</v>
      </c>
      <c r="D109" s="30">
        <v>15</v>
      </c>
      <c r="E109" s="30">
        <v>26.7</v>
      </c>
      <c r="F109" s="30">
        <v>13</v>
      </c>
      <c r="G109" s="30">
        <v>53.8</v>
      </c>
    </row>
    <row r="110" spans="1:7" ht="15">
      <c r="A110" s="91">
        <v>2.7</v>
      </c>
      <c r="B110" s="30">
        <v>18</v>
      </c>
      <c r="C110" s="30">
        <v>25</v>
      </c>
      <c r="D110" s="30">
        <v>15</v>
      </c>
      <c r="E110" s="30">
        <v>30</v>
      </c>
      <c r="F110" s="30">
        <v>13</v>
      </c>
      <c r="G110" s="30">
        <v>57.7</v>
      </c>
    </row>
    <row r="111" spans="1:7" ht="15">
      <c r="A111" s="91">
        <v>2.75</v>
      </c>
      <c r="B111" s="30">
        <v>18</v>
      </c>
      <c r="C111" s="30">
        <v>27.8</v>
      </c>
      <c r="D111" s="30">
        <v>15</v>
      </c>
      <c r="E111" s="30">
        <v>33.3</v>
      </c>
      <c r="F111" s="30">
        <v>13</v>
      </c>
      <c r="G111" s="30">
        <v>61.5</v>
      </c>
    </row>
    <row r="112" spans="1:7" ht="15">
      <c r="A112" s="91">
        <v>2.8</v>
      </c>
      <c r="B112" s="30">
        <v>18</v>
      </c>
      <c r="C112" s="30">
        <v>30.6</v>
      </c>
      <c r="D112" s="30">
        <v>16</v>
      </c>
      <c r="E112" s="30">
        <v>25</v>
      </c>
      <c r="F112" s="30">
        <v>14</v>
      </c>
      <c r="G112" s="30">
        <v>50</v>
      </c>
    </row>
    <row r="113" spans="1:7" ht="15">
      <c r="A113" s="91">
        <v>2.85</v>
      </c>
      <c r="B113" s="30">
        <v>19</v>
      </c>
      <c r="C113" s="30">
        <v>25</v>
      </c>
      <c r="D113" s="30">
        <v>16</v>
      </c>
      <c r="E113" s="30">
        <v>28.1</v>
      </c>
      <c r="F113" s="30">
        <v>14</v>
      </c>
      <c r="G113" s="30">
        <v>53.6</v>
      </c>
    </row>
    <row r="114" spans="1:7" ht="15">
      <c r="A114" s="91">
        <v>2.9</v>
      </c>
      <c r="B114" s="30">
        <v>19</v>
      </c>
      <c r="C114" s="30">
        <v>27.6</v>
      </c>
      <c r="D114" s="30">
        <v>16</v>
      </c>
      <c r="E114" s="30">
        <v>31.3</v>
      </c>
      <c r="F114" s="30">
        <v>14</v>
      </c>
      <c r="G114" s="30">
        <v>57.1</v>
      </c>
    </row>
    <row r="115" spans="1:7" ht="15">
      <c r="A115" s="91">
        <v>2.95</v>
      </c>
      <c r="B115" s="30">
        <v>19</v>
      </c>
      <c r="C115" s="30">
        <v>30.3</v>
      </c>
      <c r="D115" s="30">
        <v>16</v>
      </c>
      <c r="E115" s="30">
        <v>34.4</v>
      </c>
      <c r="F115" s="30">
        <v>14</v>
      </c>
      <c r="G115" s="30">
        <v>60.7</v>
      </c>
    </row>
    <row r="116" spans="1:7" ht="15">
      <c r="A116" s="91">
        <v>3</v>
      </c>
      <c r="B116" s="30">
        <v>20</v>
      </c>
      <c r="C116" s="30">
        <v>25</v>
      </c>
      <c r="D116" s="30">
        <v>17</v>
      </c>
      <c r="E116" s="30">
        <v>26.5</v>
      </c>
      <c r="F116" s="30">
        <v>15</v>
      </c>
      <c r="G116" s="30">
        <v>50</v>
      </c>
    </row>
    <row r="118" spans="1:22" ht="15">
      <c r="A118" s="71">
        <v>1</v>
      </c>
      <c r="B118" s="72">
        <v>2</v>
      </c>
      <c r="C118" s="72">
        <v>3</v>
      </c>
      <c r="D118" s="72">
        <v>4</v>
      </c>
      <c r="E118" s="72">
        <v>5</v>
      </c>
      <c r="F118" s="72">
        <v>6</v>
      </c>
      <c r="G118" s="72">
        <v>7</v>
      </c>
      <c r="H118" s="72">
        <v>8</v>
      </c>
      <c r="I118" s="72">
        <v>9</v>
      </c>
      <c r="J118" s="72">
        <v>10</v>
      </c>
      <c r="K118" s="72">
        <v>11</v>
      </c>
      <c r="L118" s="72">
        <v>12</v>
      </c>
      <c r="M118" s="72">
        <v>13</v>
      </c>
      <c r="N118" s="72">
        <v>14</v>
      </c>
      <c r="O118" s="72">
        <v>15</v>
      </c>
      <c r="P118" s="72">
        <v>16</v>
      </c>
      <c r="Q118" s="72">
        <v>17</v>
      </c>
      <c r="R118" s="72">
        <v>18</v>
      </c>
      <c r="S118" s="72">
        <v>19</v>
      </c>
      <c r="T118" s="72">
        <v>20</v>
      </c>
      <c r="U118" s="72">
        <v>21</v>
      </c>
      <c r="V118" s="72">
        <v>22</v>
      </c>
    </row>
    <row r="119" spans="1:22" ht="51">
      <c r="A119" s="237" t="s">
        <v>162</v>
      </c>
      <c r="B119" s="236" t="s">
        <v>210</v>
      </c>
      <c r="C119" s="236"/>
      <c r="D119" s="236" t="s">
        <v>212</v>
      </c>
      <c r="E119" s="236"/>
      <c r="F119" s="236" t="s">
        <v>211</v>
      </c>
      <c r="G119" s="236"/>
      <c r="H119" s="236" t="s">
        <v>213</v>
      </c>
      <c r="I119" s="236"/>
      <c r="J119" s="89" t="s">
        <v>222</v>
      </c>
      <c r="K119" s="89" t="s">
        <v>223</v>
      </c>
      <c r="L119" s="89" t="s">
        <v>124</v>
      </c>
      <c r="M119" s="89" t="s">
        <v>125</v>
      </c>
      <c r="N119" s="89" t="s">
        <v>214</v>
      </c>
      <c r="O119" s="89" t="s">
        <v>215</v>
      </c>
      <c r="P119" s="89" t="s">
        <v>175</v>
      </c>
      <c r="Q119" s="89" t="s">
        <v>168</v>
      </c>
      <c r="R119" s="89" t="s">
        <v>169</v>
      </c>
      <c r="S119" s="89" t="s">
        <v>170</v>
      </c>
      <c r="T119" s="89" t="s">
        <v>171</v>
      </c>
      <c r="U119" s="89" t="s">
        <v>172</v>
      </c>
      <c r="V119" s="89" t="s">
        <v>173</v>
      </c>
    </row>
    <row r="120" spans="1:22" ht="15">
      <c r="A120" s="237"/>
      <c r="B120" s="113" t="s">
        <v>266</v>
      </c>
      <c r="C120" s="113" t="s">
        <v>151</v>
      </c>
      <c r="D120" s="113" t="s">
        <v>266</v>
      </c>
      <c r="E120" s="113" t="s">
        <v>151</v>
      </c>
      <c r="F120" s="113" t="s">
        <v>266</v>
      </c>
      <c r="G120" s="113" t="s">
        <v>151</v>
      </c>
      <c r="H120" s="113" t="s">
        <v>266</v>
      </c>
      <c r="I120" s="113" t="s">
        <v>151</v>
      </c>
      <c r="J120" s="113" t="s">
        <v>266</v>
      </c>
      <c r="K120" s="113" t="s">
        <v>266</v>
      </c>
      <c r="L120" s="113" t="s">
        <v>266</v>
      </c>
      <c r="M120" s="113" t="s">
        <v>266</v>
      </c>
      <c r="N120" s="113" t="s">
        <v>151</v>
      </c>
      <c r="O120" s="113" t="s">
        <v>151</v>
      </c>
      <c r="P120" s="113" t="s">
        <v>151</v>
      </c>
      <c r="Q120" s="113" t="s">
        <v>151</v>
      </c>
      <c r="R120" s="113" t="s">
        <v>151</v>
      </c>
      <c r="S120" s="113" t="s">
        <v>151</v>
      </c>
      <c r="T120" s="113" t="s">
        <v>151</v>
      </c>
      <c r="U120" s="113" t="s">
        <v>151</v>
      </c>
      <c r="V120" s="113" t="s">
        <v>151</v>
      </c>
    </row>
    <row r="121" spans="1:22" ht="15">
      <c r="A121" s="90" t="s">
        <v>91</v>
      </c>
      <c r="B121" s="57" t="s">
        <v>28</v>
      </c>
      <c r="C121" s="67">
        <v>0</v>
      </c>
      <c r="D121" s="57" t="s">
        <v>28</v>
      </c>
      <c r="E121" s="67">
        <v>0</v>
      </c>
      <c r="F121" s="57" t="s">
        <v>28</v>
      </c>
      <c r="G121" s="67">
        <v>0</v>
      </c>
      <c r="H121" s="57" t="s">
        <v>28</v>
      </c>
      <c r="I121" s="67">
        <v>0</v>
      </c>
      <c r="J121" s="57" t="s">
        <v>28</v>
      </c>
      <c r="K121" s="57" t="s">
        <v>28</v>
      </c>
      <c r="L121" s="57" t="s">
        <v>28</v>
      </c>
      <c r="M121" s="57" t="s">
        <v>28</v>
      </c>
      <c r="N121" s="47">
        <v>0</v>
      </c>
      <c r="O121" s="67">
        <v>0</v>
      </c>
      <c r="P121" s="47">
        <v>0</v>
      </c>
      <c r="Q121" s="47">
        <v>0</v>
      </c>
      <c r="R121" s="47">
        <v>0</v>
      </c>
      <c r="S121" s="47">
        <v>0</v>
      </c>
      <c r="T121" s="47">
        <v>0</v>
      </c>
      <c r="U121" s="47">
        <v>0</v>
      </c>
      <c r="V121" s="47">
        <v>0</v>
      </c>
    </row>
    <row r="122" spans="1:22" ht="15">
      <c r="A122" s="90" t="s">
        <v>146</v>
      </c>
      <c r="B122" s="93">
        <v>0.83</v>
      </c>
      <c r="C122" s="90">
        <v>8</v>
      </c>
      <c r="D122" s="93">
        <v>0.83</v>
      </c>
      <c r="E122" s="90">
        <v>2</v>
      </c>
      <c r="F122" s="93">
        <v>0.83</v>
      </c>
      <c r="G122" s="90">
        <v>5</v>
      </c>
      <c r="H122" s="93">
        <v>0.83</v>
      </c>
      <c r="I122" s="90">
        <v>2</v>
      </c>
      <c r="J122" s="90">
        <v>1.34</v>
      </c>
      <c r="K122" s="90">
        <v>1.3</v>
      </c>
      <c r="L122" s="90">
        <v>0.86</v>
      </c>
      <c r="M122" s="90">
        <v>0.86</v>
      </c>
      <c r="N122" s="90">
        <v>48</v>
      </c>
      <c r="O122" s="90">
        <v>30</v>
      </c>
      <c r="P122" s="90">
        <v>9</v>
      </c>
      <c r="Q122" s="90">
        <v>1</v>
      </c>
      <c r="R122" s="90">
        <v>0</v>
      </c>
      <c r="S122" s="90">
        <v>0</v>
      </c>
      <c r="T122" s="90">
        <v>1</v>
      </c>
      <c r="U122" s="90">
        <v>0</v>
      </c>
      <c r="V122" s="90">
        <v>0</v>
      </c>
    </row>
    <row r="123" spans="1:22" ht="15">
      <c r="A123" s="90" t="s">
        <v>147</v>
      </c>
      <c r="B123" s="93">
        <v>0.83</v>
      </c>
      <c r="C123" s="90">
        <v>10</v>
      </c>
      <c r="D123" s="93">
        <v>0.83</v>
      </c>
      <c r="E123" s="90">
        <v>2</v>
      </c>
      <c r="F123" s="93">
        <v>0.83</v>
      </c>
      <c r="G123" s="90">
        <v>7</v>
      </c>
      <c r="H123" s="93">
        <v>0.83</v>
      </c>
      <c r="I123" s="90">
        <v>2</v>
      </c>
      <c r="J123" s="90">
        <v>1.64</v>
      </c>
      <c r="K123" s="90">
        <v>1.61</v>
      </c>
      <c r="L123" s="90">
        <v>0.86</v>
      </c>
      <c r="M123" s="90">
        <v>0.86</v>
      </c>
      <c r="N123" s="90">
        <v>60</v>
      </c>
      <c r="O123" s="90">
        <v>42</v>
      </c>
      <c r="P123" s="90">
        <v>9</v>
      </c>
      <c r="Q123" s="90">
        <v>0</v>
      </c>
      <c r="R123" s="90">
        <v>1</v>
      </c>
      <c r="S123" s="90">
        <v>0</v>
      </c>
      <c r="T123" s="90">
        <v>0</v>
      </c>
      <c r="U123" s="90">
        <v>1</v>
      </c>
      <c r="V123" s="90">
        <v>0</v>
      </c>
    </row>
    <row r="124" spans="1:22" ht="15">
      <c r="A124" s="90" t="s">
        <v>42</v>
      </c>
      <c r="B124" s="93">
        <v>0.83</v>
      </c>
      <c r="C124" s="90">
        <v>11</v>
      </c>
      <c r="D124" s="93">
        <v>0.83</v>
      </c>
      <c r="E124" s="90">
        <v>2</v>
      </c>
      <c r="F124" s="93">
        <v>0.83</v>
      </c>
      <c r="G124" s="90">
        <v>8</v>
      </c>
      <c r="H124" s="93">
        <v>0.83</v>
      </c>
      <c r="I124" s="90">
        <v>2</v>
      </c>
      <c r="J124" s="90">
        <v>1.79</v>
      </c>
      <c r="K124" s="90">
        <v>1.81</v>
      </c>
      <c r="L124" s="90">
        <v>0.86</v>
      </c>
      <c r="M124" s="90">
        <v>0.86</v>
      </c>
      <c r="N124" s="90">
        <v>66</v>
      </c>
      <c r="O124" s="90">
        <v>48</v>
      </c>
      <c r="P124" s="90">
        <v>9</v>
      </c>
      <c r="Q124" s="90">
        <v>0</v>
      </c>
      <c r="R124" s="90">
        <v>0</v>
      </c>
      <c r="S124" s="90">
        <v>1</v>
      </c>
      <c r="T124" s="90">
        <v>0</v>
      </c>
      <c r="U124" s="90">
        <v>0</v>
      </c>
      <c r="V124" s="90">
        <v>1</v>
      </c>
    </row>
    <row r="126" spans="1:22" ht="15">
      <c r="A126" s="71">
        <v>1</v>
      </c>
      <c r="B126" s="71">
        <v>2</v>
      </c>
      <c r="C126" s="71">
        <v>3</v>
      </c>
      <c r="D126" s="71">
        <v>4</v>
      </c>
      <c r="E126" s="71">
        <v>5</v>
      </c>
      <c r="F126" s="71">
        <v>6</v>
      </c>
      <c r="G126" s="71">
        <v>7</v>
      </c>
      <c r="H126" s="71">
        <v>8</v>
      </c>
      <c r="I126" s="71">
        <v>9</v>
      </c>
      <c r="J126" s="71">
        <v>10</v>
      </c>
      <c r="K126" s="71">
        <v>11</v>
      </c>
      <c r="L126" s="71">
        <v>12</v>
      </c>
      <c r="M126" s="71">
        <v>13</v>
      </c>
      <c r="N126" s="71">
        <v>14</v>
      </c>
      <c r="O126" s="71">
        <v>15</v>
      </c>
      <c r="P126" s="71">
        <v>16</v>
      </c>
      <c r="Q126" s="71">
        <v>17</v>
      </c>
      <c r="R126" s="71">
        <v>18</v>
      </c>
      <c r="S126" s="71">
        <v>19</v>
      </c>
      <c r="T126" s="71">
        <v>20</v>
      </c>
      <c r="U126" s="71">
        <v>21</v>
      </c>
      <c r="V126" s="71">
        <v>22</v>
      </c>
    </row>
    <row r="127" spans="1:22" ht="52.5" customHeight="1">
      <c r="A127" s="237" t="s">
        <v>161</v>
      </c>
      <c r="B127" s="236" t="s">
        <v>210</v>
      </c>
      <c r="C127" s="236"/>
      <c r="D127" s="236" t="s">
        <v>212</v>
      </c>
      <c r="E127" s="236"/>
      <c r="F127" s="236" t="s">
        <v>211</v>
      </c>
      <c r="G127" s="236"/>
      <c r="H127" s="236" t="s">
        <v>213</v>
      </c>
      <c r="I127" s="236"/>
      <c r="J127" s="89" t="s">
        <v>222</v>
      </c>
      <c r="K127" s="89" t="s">
        <v>223</v>
      </c>
      <c r="L127" s="89" t="s">
        <v>124</v>
      </c>
      <c r="M127" s="89" t="s">
        <v>125</v>
      </c>
      <c r="N127" s="89" t="s">
        <v>214</v>
      </c>
      <c r="O127" s="89" t="s">
        <v>215</v>
      </c>
      <c r="P127" s="89" t="s">
        <v>175</v>
      </c>
      <c r="Q127" s="89" t="s">
        <v>168</v>
      </c>
      <c r="R127" s="89" t="s">
        <v>169</v>
      </c>
      <c r="S127" s="89" t="s">
        <v>170</v>
      </c>
      <c r="T127" s="89" t="s">
        <v>171</v>
      </c>
      <c r="U127" s="89" t="s">
        <v>172</v>
      </c>
      <c r="V127" s="89" t="s">
        <v>173</v>
      </c>
    </row>
    <row r="128" spans="1:22" ht="15">
      <c r="A128" s="237"/>
      <c r="B128" s="113" t="s">
        <v>266</v>
      </c>
      <c r="C128" s="113" t="s">
        <v>151</v>
      </c>
      <c r="D128" s="113" t="s">
        <v>266</v>
      </c>
      <c r="E128" s="113" t="s">
        <v>151</v>
      </c>
      <c r="F128" s="113" t="s">
        <v>266</v>
      </c>
      <c r="G128" s="113" t="s">
        <v>151</v>
      </c>
      <c r="H128" s="113" t="s">
        <v>266</v>
      </c>
      <c r="I128" s="113" t="s">
        <v>151</v>
      </c>
      <c r="J128" s="113" t="s">
        <v>266</v>
      </c>
      <c r="K128" s="113" t="s">
        <v>266</v>
      </c>
      <c r="L128" s="113" t="s">
        <v>266</v>
      </c>
      <c r="M128" s="113" t="s">
        <v>266</v>
      </c>
      <c r="N128" s="113" t="s">
        <v>151</v>
      </c>
      <c r="O128" s="113" t="s">
        <v>151</v>
      </c>
      <c r="P128" s="113" t="s">
        <v>151</v>
      </c>
      <c r="Q128" s="113" t="s">
        <v>151</v>
      </c>
      <c r="R128" s="113" t="s">
        <v>151</v>
      </c>
      <c r="S128" s="113" t="s">
        <v>151</v>
      </c>
      <c r="T128" s="113" t="s">
        <v>151</v>
      </c>
      <c r="U128" s="113" t="s">
        <v>151</v>
      </c>
      <c r="V128" s="113" t="s">
        <v>151</v>
      </c>
    </row>
    <row r="129" spans="1:22" ht="15">
      <c r="A129" s="67" t="s">
        <v>91</v>
      </c>
      <c r="B129" s="57" t="s">
        <v>28</v>
      </c>
      <c r="C129" s="67">
        <v>0</v>
      </c>
      <c r="D129" s="57" t="s">
        <v>28</v>
      </c>
      <c r="E129" s="67">
        <v>0</v>
      </c>
      <c r="F129" s="57" t="s">
        <v>28</v>
      </c>
      <c r="G129" s="67">
        <v>0</v>
      </c>
      <c r="H129" s="57" t="s">
        <v>28</v>
      </c>
      <c r="I129" s="67">
        <v>0</v>
      </c>
      <c r="J129" s="57" t="s">
        <v>28</v>
      </c>
      <c r="K129" s="57" t="s">
        <v>28</v>
      </c>
      <c r="L129" s="57" t="s">
        <v>28</v>
      </c>
      <c r="M129" s="57" t="s">
        <v>28</v>
      </c>
      <c r="N129" s="47">
        <v>0</v>
      </c>
      <c r="O129" s="67">
        <v>0</v>
      </c>
      <c r="P129" s="47">
        <v>0</v>
      </c>
      <c r="Q129" s="47">
        <v>0</v>
      </c>
      <c r="R129" s="47">
        <v>0</v>
      </c>
      <c r="S129" s="47">
        <v>0</v>
      </c>
      <c r="T129" s="47">
        <v>0</v>
      </c>
      <c r="U129" s="47">
        <v>0</v>
      </c>
      <c r="V129" s="47">
        <v>0</v>
      </c>
    </row>
    <row r="130" spans="1:22" ht="15">
      <c r="A130" s="90" t="s">
        <v>196</v>
      </c>
      <c r="B130" s="90">
        <v>1.64</v>
      </c>
      <c r="C130" s="90">
        <v>16</v>
      </c>
      <c r="D130" s="90">
        <v>1.64</v>
      </c>
      <c r="E130" s="90">
        <v>4</v>
      </c>
      <c r="F130" s="90">
        <v>1.64</v>
      </c>
      <c r="G130" s="90">
        <v>10</v>
      </c>
      <c r="H130" s="90">
        <v>1.64</v>
      </c>
      <c r="I130" s="90">
        <v>4</v>
      </c>
      <c r="J130" s="90">
        <v>1.34</v>
      </c>
      <c r="K130" s="90">
        <v>1.3</v>
      </c>
      <c r="L130" s="90">
        <v>1.67</v>
      </c>
      <c r="M130" s="90">
        <v>1.67</v>
      </c>
      <c r="N130" s="90">
        <v>96</v>
      </c>
      <c r="O130" s="90">
        <v>60</v>
      </c>
      <c r="P130" s="90">
        <v>9</v>
      </c>
      <c r="Q130" s="90">
        <v>2</v>
      </c>
      <c r="R130" s="90">
        <v>0</v>
      </c>
      <c r="S130" s="90">
        <v>0</v>
      </c>
      <c r="T130" s="90">
        <v>2</v>
      </c>
      <c r="U130" s="90">
        <v>0</v>
      </c>
      <c r="V130" s="90">
        <v>0</v>
      </c>
    </row>
    <row r="131" spans="1:22" ht="15">
      <c r="A131" s="90" t="s">
        <v>197</v>
      </c>
      <c r="B131" s="90">
        <v>1.64</v>
      </c>
      <c r="C131" s="90">
        <v>20</v>
      </c>
      <c r="D131" s="90">
        <v>1.64</v>
      </c>
      <c r="E131" s="90">
        <v>4</v>
      </c>
      <c r="F131" s="90">
        <v>1.64</v>
      </c>
      <c r="G131" s="90">
        <v>14</v>
      </c>
      <c r="H131" s="90">
        <v>1.64</v>
      </c>
      <c r="I131" s="90">
        <v>4</v>
      </c>
      <c r="J131" s="90">
        <v>1.64</v>
      </c>
      <c r="K131" s="90">
        <v>1.61</v>
      </c>
      <c r="L131" s="90">
        <v>1.67</v>
      </c>
      <c r="M131" s="90">
        <v>1.67</v>
      </c>
      <c r="N131" s="90">
        <v>120</v>
      </c>
      <c r="O131" s="90">
        <v>84</v>
      </c>
      <c r="P131" s="90">
        <v>9</v>
      </c>
      <c r="Q131" s="90">
        <v>0</v>
      </c>
      <c r="R131" s="90">
        <v>2</v>
      </c>
      <c r="S131" s="90">
        <v>0</v>
      </c>
      <c r="T131" s="90">
        <v>0</v>
      </c>
      <c r="U131" s="90">
        <v>2</v>
      </c>
      <c r="V131" s="90">
        <v>0</v>
      </c>
    </row>
    <row r="132" spans="1:22" ht="15">
      <c r="A132" s="90" t="s">
        <v>46</v>
      </c>
      <c r="B132" s="90">
        <v>1.64</v>
      </c>
      <c r="C132" s="90">
        <v>22</v>
      </c>
      <c r="D132" s="90">
        <v>1.64</v>
      </c>
      <c r="E132" s="90">
        <v>4</v>
      </c>
      <c r="F132" s="90">
        <v>1.64</v>
      </c>
      <c r="G132" s="90">
        <v>16</v>
      </c>
      <c r="H132" s="90">
        <v>1.64</v>
      </c>
      <c r="I132" s="90">
        <v>4</v>
      </c>
      <c r="J132" s="90">
        <v>1.79</v>
      </c>
      <c r="K132" s="90">
        <v>1.81</v>
      </c>
      <c r="L132" s="90">
        <v>1.67</v>
      </c>
      <c r="M132" s="90">
        <v>1.67</v>
      </c>
      <c r="N132" s="90">
        <v>132</v>
      </c>
      <c r="O132" s="90">
        <v>128</v>
      </c>
      <c r="P132" s="90">
        <v>9</v>
      </c>
      <c r="Q132" s="90">
        <v>0</v>
      </c>
      <c r="R132" s="90">
        <v>0</v>
      </c>
      <c r="S132" s="90">
        <v>2</v>
      </c>
      <c r="T132" s="90">
        <v>0</v>
      </c>
      <c r="U132" s="90">
        <v>0</v>
      </c>
      <c r="V132" s="90">
        <v>2</v>
      </c>
    </row>
    <row r="133" spans="1:22" ht="15">
      <c r="A133" s="90" t="s">
        <v>198</v>
      </c>
      <c r="B133" s="90">
        <v>1.64</v>
      </c>
      <c r="C133" s="90">
        <v>14</v>
      </c>
      <c r="D133" s="90">
        <v>1.64</v>
      </c>
      <c r="E133" s="90">
        <v>4</v>
      </c>
      <c r="F133" s="90">
        <v>1.64</v>
      </c>
      <c r="G133" s="90">
        <v>10</v>
      </c>
      <c r="H133" s="90">
        <v>1.64</v>
      </c>
      <c r="I133" s="90">
        <v>2</v>
      </c>
      <c r="J133" s="90">
        <v>1.22</v>
      </c>
      <c r="K133" s="90">
        <v>1.19</v>
      </c>
      <c r="L133" s="90">
        <v>1.67</v>
      </c>
      <c r="M133" s="90">
        <v>1.67</v>
      </c>
      <c r="N133" s="90">
        <v>144</v>
      </c>
      <c r="O133" s="90">
        <v>96</v>
      </c>
      <c r="P133" s="90">
        <v>24</v>
      </c>
      <c r="Q133" s="47">
        <v>0</v>
      </c>
      <c r="R133" s="47">
        <v>0</v>
      </c>
      <c r="S133" s="47">
        <v>0</v>
      </c>
      <c r="T133" s="47">
        <v>0</v>
      </c>
      <c r="U133" s="47">
        <v>0</v>
      </c>
      <c r="V133" s="47">
        <v>0</v>
      </c>
    </row>
    <row r="134" spans="1:22" ht="15">
      <c r="A134" s="90" t="s">
        <v>199</v>
      </c>
      <c r="B134" s="90">
        <v>1.9</v>
      </c>
      <c r="C134" s="92">
        <v>14</v>
      </c>
      <c r="D134" s="90">
        <v>1.9</v>
      </c>
      <c r="E134" s="92">
        <v>4</v>
      </c>
      <c r="F134" s="90">
        <v>1.9</v>
      </c>
      <c r="G134" s="92">
        <v>10</v>
      </c>
      <c r="H134" s="90">
        <v>1.9</v>
      </c>
      <c r="I134" s="92">
        <v>2</v>
      </c>
      <c r="J134" s="90">
        <v>1.22</v>
      </c>
      <c r="K134" s="90">
        <v>1.19</v>
      </c>
      <c r="L134" s="90">
        <v>1.93</v>
      </c>
      <c r="M134" s="90">
        <v>1.93</v>
      </c>
      <c r="N134" s="92">
        <v>144</v>
      </c>
      <c r="O134" s="92">
        <v>96</v>
      </c>
      <c r="P134" s="92">
        <v>24</v>
      </c>
      <c r="Q134" s="47">
        <v>0</v>
      </c>
      <c r="R134" s="47">
        <v>0</v>
      </c>
      <c r="S134" s="47">
        <v>0</v>
      </c>
      <c r="T134" s="47">
        <v>0</v>
      </c>
      <c r="U134" s="47">
        <v>0</v>
      </c>
      <c r="V134" s="47">
        <v>0</v>
      </c>
    </row>
    <row r="135" spans="1:22" ht="15">
      <c r="A135" s="90" t="s">
        <v>200</v>
      </c>
      <c r="B135" s="92">
        <v>2.1</v>
      </c>
      <c r="C135" s="92">
        <v>14</v>
      </c>
      <c r="D135" s="92">
        <v>2.1</v>
      </c>
      <c r="E135" s="92">
        <v>4</v>
      </c>
      <c r="F135" s="92">
        <v>2.1</v>
      </c>
      <c r="G135" s="92">
        <v>10</v>
      </c>
      <c r="H135" s="92">
        <v>2.1</v>
      </c>
      <c r="I135" s="92">
        <v>2</v>
      </c>
      <c r="J135" s="92">
        <v>1.22</v>
      </c>
      <c r="K135" s="92">
        <v>1.19</v>
      </c>
      <c r="L135" s="92">
        <v>2.13</v>
      </c>
      <c r="M135" s="92">
        <v>2.13</v>
      </c>
      <c r="N135" s="92">
        <v>144</v>
      </c>
      <c r="O135" s="92">
        <v>96</v>
      </c>
      <c r="P135" s="92">
        <v>24</v>
      </c>
      <c r="Q135" s="47">
        <v>0</v>
      </c>
      <c r="R135" s="47">
        <v>0</v>
      </c>
      <c r="S135" s="47">
        <v>0</v>
      </c>
      <c r="T135" s="47">
        <v>0</v>
      </c>
      <c r="U135" s="47">
        <v>0</v>
      </c>
      <c r="V135" s="47">
        <v>0</v>
      </c>
    </row>
    <row r="136" spans="1:22" ht="15">
      <c r="A136" s="90" t="s">
        <v>201</v>
      </c>
      <c r="B136" s="90">
        <v>1.64</v>
      </c>
      <c r="C136" s="90">
        <v>18</v>
      </c>
      <c r="D136" s="90">
        <v>1.64</v>
      </c>
      <c r="E136" s="90">
        <v>4</v>
      </c>
      <c r="F136" s="90">
        <v>1.64</v>
      </c>
      <c r="G136" s="90">
        <v>14</v>
      </c>
      <c r="H136" s="90">
        <v>1.64</v>
      </c>
      <c r="I136" s="90">
        <v>2</v>
      </c>
      <c r="J136" s="90">
        <v>1.52</v>
      </c>
      <c r="K136" s="90">
        <v>1.49</v>
      </c>
      <c r="L136" s="90">
        <v>1.67</v>
      </c>
      <c r="M136" s="90">
        <v>1.67</v>
      </c>
      <c r="N136" s="90">
        <v>176</v>
      </c>
      <c r="O136" s="90">
        <v>128</v>
      </c>
      <c r="P136" s="90">
        <v>24</v>
      </c>
      <c r="Q136" s="47">
        <v>0</v>
      </c>
      <c r="R136" s="47">
        <v>0</v>
      </c>
      <c r="S136" s="47">
        <v>0</v>
      </c>
      <c r="T136" s="47">
        <v>0</v>
      </c>
      <c r="U136" s="47">
        <v>0</v>
      </c>
      <c r="V136" s="47">
        <v>0</v>
      </c>
    </row>
    <row r="137" spans="1:22" ht="15">
      <c r="A137" s="90" t="s">
        <v>202</v>
      </c>
      <c r="B137" s="90">
        <v>1.9</v>
      </c>
      <c r="C137" s="92">
        <v>18</v>
      </c>
      <c r="D137" s="90">
        <v>1.9</v>
      </c>
      <c r="E137" s="92">
        <v>4</v>
      </c>
      <c r="F137" s="90">
        <v>1.9</v>
      </c>
      <c r="G137" s="92">
        <v>14</v>
      </c>
      <c r="H137" s="90">
        <v>1.9</v>
      </c>
      <c r="I137" s="92">
        <v>2</v>
      </c>
      <c r="J137" s="90">
        <v>1.52</v>
      </c>
      <c r="K137" s="90">
        <v>1.49</v>
      </c>
      <c r="L137" s="90">
        <v>1.93</v>
      </c>
      <c r="M137" s="90">
        <v>1.93</v>
      </c>
      <c r="N137" s="92">
        <v>176</v>
      </c>
      <c r="O137" s="92">
        <v>128</v>
      </c>
      <c r="P137" s="92">
        <v>24</v>
      </c>
      <c r="Q137" s="47">
        <v>0</v>
      </c>
      <c r="R137" s="47">
        <v>0</v>
      </c>
      <c r="S137" s="47">
        <v>0</v>
      </c>
      <c r="T137" s="47">
        <v>0</v>
      </c>
      <c r="U137" s="47">
        <v>0</v>
      </c>
      <c r="V137" s="47">
        <v>0</v>
      </c>
    </row>
    <row r="138" spans="1:22" ht="15">
      <c r="A138" s="90" t="s">
        <v>203</v>
      </c>
      <c r="B138" s="92">
        <v>2.1</v>
      </c>
      <c r="C138" s="92">
        <v>18</v>
      </c>
      <c r="D138" s="92">
        <v>2.1</v>
      </c>
      <c r="E138" s="92">
        <v>4</v>
      </c>
      <c r="F138" s="92">
        <v>2.1</v>
      </c>
      <c r="G138" s="92">
        <v>14</v>
      </c>
      <c r="H138" s="92">
        <v>2.1</v>
      </c>
      <c r="I138" s="92">
        <v>2</v>
      </c>
      <c r="J138" s="92">
        <v>1.52</v>
      </c>
      <c r="K138" s="92">
        <v>1.49</v>
      </c>
      <c r="L138" s="92">
        <v>2.13</v>
      </c>
      <c r="M138" s="92">
        <v>2.13</v>
      </c>
      <c r="N138" s="92">
        <v>176</v>
      </c>
      <c r="O138" s="92">
        <v>128</v>
      </c>
      <c r="P138" s="92">
        <v>24</v>
      </c>
      <c r="Q138" s="47">
        <v>0</v>
      </c>
      <c r="R138" s="47">
        <v>0</v>
      </c>
      <c r="S138" s="47">
        <v>0</v>
      </c>
      <c r="T138" s="47">
        <v>0</v>
      </c>
      <c r="U138" s="47">
        <v>0</v>
      </c>
      <c r="V138" s="47">
        <v>0</v>
      </c>
    </row>
    <row r="139" spans="1:22" ht="15">
      <c r="A139" s="90" t="s">
        <v>53</v>
      </c>
      <c r="B139" s="90">
        <v>1.64</v>
      </c>
      <c r="C139" s="90">
        <v>20</v>
      </c>
      <c r="D139" s="90">
        <v>1.64</v>
      </c>
      <c r="E139" s="90">
        <v>4</v>
      </c>
      <c r="F139" s="90">
        <v>1.64</v>
      </c>
      <c r="G139" s="90">
        <v>16</v>
      </c>
      <c r="H139" s="90">
        <v>1.64</v>
      </c>
      <c r="I139" s="90">
        <v>2</v>
      </c>
      <c r="J139" s="90">
        <v>1.67</v>
      </c>
      <c r="K139" s="90">
        <v>1.69</v>
      </c>
      <c r="L139" s="90">
        <v>1.67</v>
      </c>
      <c r="M139" s="90">
        <v>1.67</v>
      </c>
      <c r="N139" s="90">
        <v>192</v>
      </c>
      <c r="O139" s="90">
        <v>144</v>
      </c>
      <c r="P139" s="90">
        <v>24</v>
      </c>
      <c r="Q139" s="47">
        <v>0</v>
      </c>
      <c r="R139" s="47">
        <v>0</v>
      </c>
      <c r="S139" s="47">
        <v>0</v>
      </c>
      <c r="T139" s="47">
        <v>0</v>
      </c>
      <c r="U139" s="47">
        <v>0</v>
      </c>
      <c r="V139" s="47">
        <v>0</v>
      </c>
    </row>
    <row r="140" spans="1:22" ht="15">
      <c r="A140" s="90" t="s">
        <v>55</v>
      </c>
      <c r="B140" s="90">
        <v>1.9</v>
      </c>
      <c r="C140" s="92">
        <v>20</v>
      </c>
      <c r="D140" s="90">
        <v>1.9</v>
      </c>
      <c r="E140" s="92">
        <v>4</v>
      </c>
      <c r="F140" s="90">
        <v>1.9</v>
      </c>
      <c r="G140" s="92">
        <v>16</v>
      </c>
      <c r="H140" s="90">
        <v>1.9</v>
      </c>
      <c r="I140" s="92">
        <v>2</v>
      </c>
      <c r="J140" s="90">
        <v>1.67</v>
      </c>
      <c r="K140" s="90">
        <v>1.69</v>
      </c>
      <c r="L140" s="90">
        <v>1.93</v>
      </c>
      <c r="M140" s="90">
        <v>1.93</v>
      </c>
      <c r="N140" s="92">
        <v>192</v>
      </c>
      <c r="O140" s="92">
        <v>144</v>
      </c>
      <c r="P140" s="92">
        <v>24</v>
      </c>
      <c r="Q140" s="47">
        <v>0</v>
      </c>
      <c r="R140" s="47">
        <v>0</v>
      </c>
      <c r="S140" s="47">
        <v>0</v>
      </c>
      <c r="T140" s="47">
        <v>0</v>
      </c>
      <c r="U140" s="47">
        <v>0</v>
      </c>
      <c r="V140" s="47">
        <v>0</v>
      </c>
    </row>
    <row r="141" spans="1:22" ht="15">
      <c r="A141" s="90" t="s">
        <v>58</v>
      </c>
      <c r="B141" s="92">
        <v>2.1</v>
      </c>
      <c r="C141" s="92">
        <v>20</v>
      </c>
      <c r="D141" s="92">
        <v>2.1</v>
      </c>
      <c r="E141" s="92">
        <v>4</v>
      </c>
      <c r="F141" s="92">
        <v>2.1</v>
      </c>
      <c r="G141" s="92">
        <v>16</v>
      </c>
      <c r="H141" s="92">
        <v>2.1</v>
      </c>
      <c r="I141" s="92">
        <v>2</v>
      </c>
      <c r="J141" s="92">
        <v>1.67</v>
      </c>
      <c r="K141" s="92">
        <v>1.69</v>
      </c>
      <c r="L141" s="92">
        <v>2.13</v>
      </c>
      <c r="M141" s="92">
        <v>2.13</v>
      </c>
      <c r="N141" s="92">
        <v>192</v>
      </c>
      <c r="O141" s="92">
        <v>144</v>
      </c>
      <c r="P141" s="92">
        <v>24</v>
      </c>
      <c r="Q141" s="47">
        <v>0</v>
      </c>
      <c r="R141" s="47">
        <v>0</v>
      </c>
      <c r="S141" s="47">
        <v>0</v>
      </c>
      <c r="T141" s="47">
        <v>0</v>
      </c>
      <c r="U141" s="47">
        <v>0</v>
      </c>
      <c r="V141" s="47">
        <v>0</v>
      </c>
    </row>
    <row r="142" spans="1:22" ht="15">
      <c r="A142" s="90" t="s">
        <v>204</v>
      </c>
      <c r="B142" s="90">
        <v>1.64</v>
      </c>
      <c r="C142" s="90">
        <v>14</v>
      </c>
      <c r="D142" s="90">
        <v>1.64</v>
      </c>
      <c r="E142" s="90">
        <v>4</v>
      </c>
      <c r="F142" s="90">
        <v>1.64</v>
      </c>
      <c r="G142" s="90">
        <v>10</v>
      </c>
      <c r="H142" s="90">
        <v>1.64</v>
      </c>
      <c r="I142" s="90">
        <v>2</v>
      </c>
      <c r="J142" s="90">
        <v>1.22</v>
      </c>
      <c r="K142" s="90">
        <v>1.19</v>
      </c>
      <c r="L142" s="90">
        <v>1.67</v>
      </c>
      <c r="M142" s="90">
        <v>1.67</v>
      </c>
      <c r="N142" s="90">
        <v>144</v>
      </c>
      <c r="O142" s="90">
        <v>96</v>
      </c>
      <c r="P142" s="90">
        <v>24</v>
      </c>
      <c r="Q142" s="47">
        <v>0</v>
      </c>
      <c r="R142" s="47">
        <v>0</v>
      </c>
      <c r="S142" s="47">
        <v>0</v>
      </c>
      <c r="T142" s="47">
        <v>0</v>
      </c>
      <c r="U142" s="47">
        <v>0</v>
      </c>
      <c r="V142" s="47">
        <v>0</v>
      </c>
    </row>
    <row r="143" spans="1:22" ht="15">
      <c r="A143" s="90" t="s">
        <v>206</v>
      </c>
      <c r="B143" s="90">
        <v>1.9</v>
      </c>
      <c r="C143" s="92">
        <v>14</v>
      </c>
      <c r="D143" s="90">
        <v>1.9</v>
      </c>
      <c r="E143" s="92">
        <v>4</v>
      </c>
      <c r="F143" s="90">
        <v>1.9</v>
      </c>
      <c r="G143" s="92">
        <v>10</v>
      </c>
      <c r="H143" s="90">
        <v>1.9</v>
      </c>
      <c r="I143" s="92">
        <v>2</v>
      </c>
      <c r="J143" s="90">
        <v>1.22</v>
      </c>
      <c r="K143" s="90">
        <v>1.19</v>
      </c>
      <c r="L143" s="90">
        <v>1.93</v>
      </c>
      <c r="M143" s="90">
        <v>1.93</v>
      </c>
      <c r="N143" s="92">
        <v>144</v>
      </c>
      <c r="O143" s="92">
        <v>96</v>
      </c>
      <c r="P143" s="92">
        <v>24</v>
      </c>
      <c r="Q143" s="47">
        <v>0</v>
      </c>
      <c r="R143" s="47">
        <v>0</v>
      </c>
      <c r="S143" s="47">
        <v>0</v>
      </c>
      <c r="T143" s="47">
        <v>0</v>
      </c>
      <c r="U143" s="47">
        <v>0</v>
      </c>
      <c r="V143" s="47">
        <v>0</v>
      </c>
    </row>
    <row r="144" spans="1:22" ht="15">
      <c r="A144" s="90" t="s">
        <v>207</v>
      </c>
      <c r="B144" s="92">
        <v>2.1</v>
      </c>
      <c r="C144" s="92">
        <v>14</v>
      </c>
      <c r="D144" s="92">
        <v>2.1</v>
      </c>
      <c r="E144" s="92">
        <v>4</v>
      </c>
      <c r="F144" s="92">
        <v>2.1</v>
      </c>
      <c r="G144" s="92">
        <v>10</v>
      </c>
      <c r="H144" s="92">
        <v>2.1</v>
      </c>
      <c r="I144" s="92">
        <v>2</v>
      </c>
      <c r="J144" s="92">
        <v>1.22</v>
      </c>
      <c r="K144" s="92">
        <v>1.19</v>
      </c>
      <c r="L144" s="92">
        <v>2.13</v>
      </c>
      <c r="M144" s="92">
        <v>2.13</v>
      </c>
      <c r="N144" s="92">
        <v>144</v>
      </c>
      <c r="O144" s="92">
        <v>96</v>
      </c>
      <c r="P144" s="92">
        <v>24</v>
      </c>
      <c r="Q144" s="47">
        <v>0</v>
      </c>
      <c r="R144" s="47">
        <v>0</v>
      </c>
      <c r="S144" s="47">
        <v>0</v>
      </c>
      <c r="T144" s="47">
        <v>0</v>
      </c>
      <c r="U144" s="47">
        <v>0</v>
      </c>
      <c r="V144" s="47">
        <v>0</v>
      </c>
    </row>
    <row r="145" spans="1:22" ht="15">
      <c r="A145" s="90" t="s">
        <v>205</v>
      </c>
      <c r="B145" s="90">
        <v>1.64</v>
      </c>
      <c r="C145" s="90">
        <v>18</v>
      </c>
      <c r="D145" s="90">
        <v>1.64</v>
      </c>
      <c r="E145" s="90">
        <v>4</v>
      </c>
      <c r="F145" s="90">
        <v>1.64</v>
      </c>
      <c r="G145" s="90">
        <v>14</v>
      </c>
      <c r="H145" s="90">
        <v>1.64</v>
      </c>
      <c r="I145" s="90">
        <v>2</v>
      </c>
      <c r="J145" s="90">
        <v>1.52</v>
      </c>
      <c r="K145" s="90">
        <v>1.49</v>
      </c>
      <c r="L145" s="90">
        <v>1.67</v>
      </c>
      <c r="M145" s="90">
        <v>1.67</v>
      </c>
      <c r="N145" s="90">
        <v>176</v>
      </c>
      <c r="O145" s="90">
        <v>128</v>
      </c>
      <c r="P145" s="90">
        <v>24</v>
      </c>
      <c r="Q145" s="47">
        <v>0</v>
      </c>
      <c r="R145" s="47">
        <v>0</v>
      </c>
      <c r="S145" s="47">
        <v>0</v>
      </c>
      <c r="T145" s="47">
        <v>0</v>
      </c>
      <c r="U145" s="47">
        <v>0</v>
      </c>
      <c r="V145" s="47">
        <v>0</v>
      </c>
    </row>
    <row r="146" spans="1:22" ht="15">
      <c r="A146" s="90" t="s">
        <v>208</v>
      </c>
      <c r="B146" s="90">
        <v>1.9</v>
      </c>
      <c r="C146" s="92">
        <v>18</v>
      </c>
      <c r="D146" s="90">
        <v>1.9</v>
      </c>
      <c r="E146" s="92">
        <v>4</v>
      </c>
      <c r="F146" s="90">
        <v>1.9</v>
      </c>
      <c r="G146" s="92">
        <v>14</v>
      </c>
      <c r="H146" s="90">
        <v>1.9</v>
      </c>
      <c r="I146" s="92">
        <v>2</v>
      </c>
      <c r="J146" s="90">
        <v>1.52</v>
      </c>
      <c r="K146" s="90">
        <v>1.49</v>
      </c>
      <c r="L146" s="90">
        <v>1.93</v>
      </c>
      <c r="M146" s="90">
        <v>1.93</v>
      </c>
      <c r="N146" s="92">
        <v>176</v>
      </c>
      <c r="O146" s="92">
        <v>128</v>
      </c>
      <c r="P146" s="92">
        <v>24</v>
      </c>
      <c r="Q146" s="47">
        <v>0</v>
      </c>
      <c r="R146" s="47">
        <v>0</v>
      </c>
      <c r="S146" s="47">
        <v>0</v>
      </c>
      <c r="T146" s="47">
        <v>0</v>
      </c>
      <c r="U146" s="47">
        <v>0</v>
      </c>
      <c r="V146" s="47">
        <v>0</v>
      </c>
    </row>
    <row r="147" spans="1:22" ht="15">
      <c r="A147" s="90" t="s">
        <v>209</v>
      </c>
      <c r="B147" s="92">
        <v>2.1</v>
      </c>
      <c r="C147" s="92">
        <v>18</v>
      </c>
      <c r="D147" s="92">
        <v>2.1</v>
      </c>
      <c r="E147" s="92">
        <v>4</v>
      </c>
      <c r="F147" s="92">
        <v>2.1</v>
      </c>
      <c r="G147" s="92">
        <v>14</v>
      </c>
      <c r="H147" s="92">
        <v>2.1</v>
      </c>
      <c r="I147" s="92">
        <v>2</v>
      </c>
      <c r="J147" s="92">
        <v>1.52</v>
      </c>
      <c r="K147" s="92">
        <v>1.49</v>
      </c>
      <c r="L147" s="92">
        <v>2.13</v>
      </c>
      <c r="M147" s="92">
        <v>2.132</v>
      </c>
      <c r="N147" s="92">
        <v>176</v>
      </c>
      <c r="O147" s="92">
        <v>128</v>
      </c>
      <c r="P147" s="92">
        <v>24</v>
      </c>
      <c r="Q147" s="47">
        <v>0</v>
      </c>
      <c r="R147" s="47">
        <v>0</v>
      </c>
      <c r="S147" s="47">
        <v>0</v>
      </c>
      <c r="T147" s="47">
        <v>0</v>
      </c>
      <c r="U147" s="47">
        <v>0</v>
      </c>
      <c r="V147" s="47">
        <v>0</v>
      </c>
    </row>
    <row r="148" spans="1:22" ht="15">
      <c r="A148" s="90" t="s">
        <v>70</v>
      </c>
      <c r="B148" s="90">
        <v>1.64</v>
      </c>
      <c r="C148" s="90">
        <v>20</v>
      </c>
      <c r="D148" s="90">
        <v>1.64</v>
      </c>
      <c r="E148" s="90">
        <v>4</v>
      </c>
      <c r="F148" s="90">
        <v>1.64</v>
      </c>
      <c r="G148" s="90">
        <v>16</v>
      </c>
      <c r="H148" s="90">
        <v>1.64</v>
      </c>
      <c r="I148" s="90">
        <v>2</v>
      </c>
      <c r="J148" s="90">
        <v>1.67</v>
      </c>
      <c r="K148" s="90">
        <v>1.69</v>
      </c>
      <c r="L148" s="90">
        <v>1.67</v>
      </c>
      <c r="M148" s="90">
        <v>1.67</v>
      </c>
      <c r="N148" s="90">
        <v>192</v>
      </c>
      <c r="O148" s="90">
        <v>144</v>
      </c>
      <c r="P148" s="90">
        <v>24</v>
      </c>
      <c r="Q148" s="47">
        <v>0</v>
      </c>
      <c r="R148" s="47">
        <v>0</v>
      </c>
      <c r="S148" s="47">
        <v>0</v>
      </c>
      <c r="T148" s="47">
        <v>0</v>
      </c>
      <c r="U148" s="47">
        <v>0</v>
      </c>
      <c r="V148" s="47">
        <v>0</v>
      </c>
    </row>
    <row r="149" spans="1:22" ht="15">
      <c r="A149" s="90" t="s">
        <v>77</v>
      </c>
      <c r="B149" s="90">
        <v>1.9</v>
      </c>
      <c r="C149" s="92">
        <v>20</v>
      </c>
      <c r="D149" s="90">
        <v>1.9</v>
      </c>
      <c r="E149" s="92">
        <v>4</v>
      </c>
      <c r="F149" s="90">
        <v>1.9</v>
      </c>
      <c r="G149" s="92">
        <v>16</v>
      </c>
      <c r="H149" s="90">
        <v>1.9</v>
      </c>
      <c r="I149" s="92">
        <v>2</v>
      </c>
      <c r="J149" s="90">
        <v>1.67</v>
      </c>
      <c r="K149" s="90">
        <v>1.69</v>
      </c>
      <c r="L149" s="90">
        <v>1.93</v>
      </c>
      <c r="M149" s="90">
        <v>1.93</v>
      </c>
      <c r="N149" s="92">
        <v>192</v>
      </c>
      <c r="O149" s="92">
        <v>144</v>
      </c>
      <c r="P149" s="92">
        <v>24</v>
      </c>
      <c r="Q149" s="47">
        <v>0</v>
      </c>
      <c r="R149" s="47">
        <v>0</v>
      </c>
      <c r="S149" s="47">
        <v>0</v>
      </c>
      <c r="T149" s="47">
        <v>0</v>
      </c>
      <c r="U149" s="47">
        <v>0</v>
      </c>
      <c r="V149" s="47">
        <v>0</v>
      </c>
    </row>
    <row r="150" spans="1:22" ht="15">
      <c r="A150" s="90" t="s">
        <v>79</v>
      </c>
      <c r="B150" s="92">
        <v>2.1</v>
      </c>
      <c r="C150" s="92">
        <v>20</v>
      </c>
      <c r="D150" s="92">
        <v>2.1</v>
      </c>
      <c r="E150" s="92">
        <v>4</v>
      </c>
      <c r="F150" s="92">
        <v>2.1</v>
      </c>
      <c r="G150" s="92">
        <v>16</v>
      </c>
      <c r="H150" s="92">
        <v>2.1</v>
      </c>
      <c r="I150" s="92">
        <v>2</v>
      </c>
      <c r="J150" s="92">
        <v>1.67</v>
      </c>
      <c r="K150" s="92">
        <v>1.69</v>
      </c>
      <c r="L150" s="92">
        <v>2.13</v>
      </c>
      <c r="M150" s="92">
        <v>2.13</v>
      </c>
      <c r="N150" s="92">
        <v>192</v>
      </c>
      <c r="O150" s="92">
        <v>144</v>
      </c>
      <c r="P150" s="92">
        <v>24</v>
      </c>
      <c r="Q150" s="47">
        <v>0</v>
      </c>
      <c r="R150" s="47">
        <v>0</v>
      </c>
      <c r="S150" s="47">
        <v>0</v>
      </c>
      <c r="T150" s="47">
        <v>0</v>
      </c>
      <c r="U150" s="47">
        <v>0</v>
      </c>
      <c r="V150" s="47">
        <v>0</v>
      </c>
    </row>
    <row r="153" ht="15">
      <c r="A153" s="36" t="s">
        <v>281</v>
      </c>
    </row>
    <row r="154" ht="15">
      <c r="A154" s="90" t="s">
        <v>28</v>
      </c>
    </row>
    <row r="155" ht="15">
      <c r="A155" s="90" t="s">
        <v>282</v>
      </c>
    </row>
    <row r="156" ht="15">
      <c r="A156" s="90" t="s">
        <v>283</v>
      </c>
    </row>
    <row r="157" ht="15">
      <c r="A157" s="90" t="s">
        <v>284</v>
      </c>
    </row>
    <row r="160" ht="18.75">
      <c r="A160" s="187" t="s">
        <v>289</v>
      </c>
    </row>
    <row r="161" spans="1:2" ht="30">
      <c r="A161" s="238" t="s">
        <v>115</v>
      </c>
      <c r="B161" s="141" t="s">
        <v>303</v>
      </c>
    </row>
    <row r="162" spans="1:2" ht="45">
      <c r="A162" s="239"/>
      <c r="B162" s="141" t="s">
        <v>304</v>
      </c>
    </row>
    <row r="163" spans="1:2" ht="15">
      <c r="A163" s="139">
        <v>0</v>
      </c>
      <c r="B163" s="142">
        <v>0</v>
      </c>
    </row>
    <row r="164" spans="1:2" ht="15">
      <c r="A164" s="139">
        <v>0.5</v>
      </c>
      <c r="B164" s="142">
        <v>4</v>
      </c>
    </row>
    <row r="165" spans="1:2" ht="15">
      <c r="A165" s="139">
        <v>0.6</v>
      </c>
      <c r="B165" s="142">
        <v>5</v>
      </c>
    </row>
    <row r="166" spans="1:2" ht="15">
      <c r="A166" s="139">
        <v>0.7</v>
      </c>
      <c r="B166" s="142">
        <v>5.999999999999999</v>
      </c>
    </row>
    <row r="167" spans="1:2" ht="15">
      <c r="A167" s="139">
        <v>0.8</v>
      </c>
      <c r="B167" s="142">
        <v>7</v>
      </c>
    </row>
    <row r="168" spans="1:2" ht="15">
      <c r="A168" s="139">
        <v>0.9</v>
      </c>
      <c r="B168" s="142">
        <v>8</v>
      </c>
    </row>
    <row r="169" spans="1:2" ht="15">
      <c r="A169" s="139">
        <v>1</v>
      </c>
      <c r="B169" s="142">
        <v>9</v>
      </c>
    </row>
    <row r="170" spans="1:2" ht="15">
      <c r="A170" s="139">
        <v>1.1</v>
      </c>
      <c r="B170" s="142">
        <v>10</v>
      </c>
    </row>
    <row r="171" spans="1:2" ht="15">
      <c r="A171" s="139">
        <v>1.2</v>
      </c>
      <c r="B171" s="142">
        <v>10.999999999999998</v>
      </c>
    </row>
    <row r="172" spans="1:2" ht="15">
      <c r="A172" s="139">
        <v>1.3</v>
      </c>
      <c r="B172" s="142">
        <v>11.999999999999998</v>
      </c>
    </row>
    <row r="173" spans="1:2" ht="15">
      <c r="A173" s="139">
        <v>1.4</v>
      </c>
      <c r="B173" s="142">
        <v>12.999999999999998</v>
      </c>
    </row>
    <row r="174" spans="1:2" ht="15">
      <c r="A174" s="139">
        <v>1.5</v>
      </c>
      <c r="B174" s="142">
        <v>13.999999999999998</v>
      </c>
    </row>
    <row r="175" spans="1:2" ht="15">
      <c r="A175" s="139">
        <v>1.6</v>
      </c>
      <c r="B175" s="142">
        <v>15</v>
      </c>
    </row>
    <row r="176" spans="1:2" ht="15">
      <c r="A176" s="139">
        <v>1.7</v>
      </c>
      <c r="B176" s="142">
        <v>15.999999999999998</v>
      </c>
    </row>
    <row r="177" spans="1:2" ht="15">
      <c r="A177" s="139">
        <v>1.8</v>
      </c>
      <c r="B177" s="142">
        <v>17</v>
      </c>
    </row>
    <row r="178" spans="1:2" ht="15">
      <c r="A178" s="139">
        <v>1.9</v>
      </c>
      <c r="B178" s="142">
        <v>17.999999999999996</v>
      </c>
    </row>
    <row r="179" spans="1:2" ht="15">
      <c r="A179" s="139">
        <v>2</v>
      </c>
      <c r="B179" s="142">
        <v>18.999999999999996</v>
      </c>
    </row>
    <row r="180" spans="1:2" ht="15">
      <c r="A180" s="139">
        <v>2.1</v>
      </c>
      <c r="B180" s="142">
        <v>20</v>
      </c>
    </row>
    <row r="181" spans="1:2" ht="15">
      <c r="A181" s="139">
        <v>2.2</v>
      </c>
      <c r="B181" s="142">
        <v>21</v>
      </c>
    </row>
    <row r="182" spans="1:2" ht="15">
      <c r="A182" s="139">
        <v>2.3</v>
      </c>
      <c r="B182" s="142">
        <v>21.999999999999996</v>
      </c>
    </row>
    <row r="183" spans="1:2" ht="15">
      <c r="A183" s="139">
        <v>2.4</v>
      </c>
      <c r="B183" s="142">
        <v>22.999999999999996</v>
      </c>
    </row>
    <row r="184" spans="1:2" ht="15">
      <c r="A184" s="139">
        <v>2.5</v>
      </c>
      <c r="B184" s="142">
        <v>23.999999999999996</v>
      </c>
    </row>
    <row r="185" spans="1:2" ht="15">
      <c r="A185" s="139">
        <v>2.6</v>
      </c>
      <c r="B185" s="142">
        <v>25</v>
      </c>
    </row>
    <row r="186" spans="1:2" ht="15">
      <c r="A186" s="139">
        <v>2.7</v>
      </c>
      <c r="B186" s="142">
        <v>26</v>
      </c>
    </row>
    <row r="187" spans="1:2" ht="15">
      <c r="A187" s="139">
        <v>2.8</v>
      </c>
      <c r="B187" s="142">
        <v>27</v>
      </c>
    </row>
    <row r="188" spans="1:2" ht="15">
      <c r="A188" s="139">
        <v>2.9</v>
      </c>
      <c r="B188" s="142">
        <v>28</v>
      </c>
    </row>
    <row r="189" spans="1:2" ht="15">
      <c r="A189" s="139">
        <v>3</v>
      </c>
      <c r="B189" s="142">
        <v>29</v>
      </c>
    </row>
    <row r="191" spans="1:19" ht="15">
      <c r="A191" s="71">
        <v>1</v>
      </c>
      <c r="B191" s="72">
        <v>2</v>
      </c>
      <c r="C191" s="72">
        <v>3</v>
      </c>
      <c r="D191" s="72">
        <v>4</v>
      </c>
      <c r="E191" s="72">
        <v>5</v>
      </c>
      <c r="F191" s="72">
        <v>6</v>
      </c>
      <c r="G191" s="72">
        <v>7</v>
      </c>
      <c r="H191" s="72">
        <v>8</v>
      </c>
      <c r="I191" s="72">
        <v>9</v>
      </c>
      <c r="J191" s="72">
        <v>10</v>
      </c>
      <c r="K191" s="72">
        <v>11</v>
      </c>
      <c r="L191" s="72">
        <v>12</v>
      </c>
      <c r="M191" s="72">
        <v>13</v>
      </c>
      <c r="N191" s="72">
        <v>14</v>
      </c>
      <c r="O191" s="72">
        <v>15</v>
      </c>
      <c r="P191" s="72">
        <v>16</v>
      </c>
      <c r="Q191" s="72">
        <v>17</v>
      </c>
      <c r="R191" s="72">
        <v>18</v>
      </c>
      <c r="S191" s="72">
        <v>19</v>
      </c>
    </row>
    <row r="192" spans="1:19" ht="51">
      <c r="A192" s="114" t="s">
        <v>116</v>
      </c>
      <c r="B192" s="89" t="s">
        <v>331</v>
      </c>
      <c r="C192" s="89" t="s">
        <v>117</v>
      </c>
      <c r="D192" s="89" t="s">
        <v>332</v>
      </c>
      <c r="E192" s="89" t="s">
        <v>336</v>
      </c>
      <c r="F192" s="89" t="s">
        <v>313</v>
      </c>
      <c r="G192" s="89" t="s">
        <v>118</v>
      </c>
      <c r="H192" s="89" t="s">
        <v>333</v>
      </c>
      <c r="I192" s="89" t="s">
        <v>334</v>
      </c>
      <c r="J192" s="89" t="s">
        <v>335</v>
      </c>
      <c r="K192" s="89" t="s">
        <v>334</v>
      </c>
      <c r="L192" s="89" t="s">
        <v>294</v>
      </c>
      <c r="M192" s="89" t="s">
        <v>334</v>
      </c>
      <c r="N192" s="89" t="s">
        <v>295</v>
      </c>
      <c r="O192" s="89" t="s">
        <v>334</v>
      </c>
      <c r="P192" s="89" t="s">
        <v>34</v>
      </c>
      <c r="Q192" s="89" t="s">
        <v>94</v>
      </c>
      <c r="R192" s="89" t="s">
        <v>97</v>
      </c>
      <c r="S192" s="89" t="s">
        <v>343</v>
      </c>
    </row>
    <row r="193" spans="1:19" ht="15">
      <c r="A193" s="90" t="s">
        <v>91</v>
      </c>
      <c r="B193" s="30">
        <v>0</v>
      </c>
      <c r="C193" s="31">
        <v>0</v>
      </c>
      <c r="D193" s="31">
        <v>0</v>
      </c>
      <c r="E193" s="31">
        <v>0</v>
      </c>
      <c r="F193" s="30">
        <v>0</v>
      </c>
      <c r="G193" s="31">
        <v>0</v>
      </c>
      <c r="H193" s="30">
        <v>0</v>
      </c>
      <c r="I193" s="31">
        <v>0</v>
      </c>
      <c r="J193" s="30">
        <v>0</v>
      </c>
      <c r="K193" s="30">
        <v>0</v>
      </c>
      <c r="L193" s="30">
        <v>0</v>
      </c>
      <c r="M193" s="30">
        <v>0</v>
      </c>
      <c r="N193" s="30">
        <v>0</v>
      </c>
      <c r="O193" s="30">
        <v>0</v>
      </c>
      <c r="P193" s="166">
        <v>0</v>
      </c>
      <c r="Q193" s="93">
        <v>0</v>
      </c>
      <c r="R193" s="93">
        <v>0</v>
      </c>
      <c r="S193" s="93">
        <v>0</v>
      </c>
    </row>
    <row r="194" spans="1:19" ht="15">
      <c r="A194" s="90" t="s">
        <v>40</v>
      </c>
      <c r="B194" s="30">
        <v>14</v>
      </c>
      <c r="C194" s="31">
        <v>0.85</v>
      </c>
      <c r="D194" s="31">
        <v>0</v>
      </c>
      <c r="E194" s="31">
        <v>0.85</v>
      </c>
      <c r="F194" s="30">
        <v>2</v>
      </c>
      <c r="G194" s="31">
        <v>1.5</v>
      </c>
      <c r="H194" s="30">
        <v>2</v>
      </c>
      <c r="I194" s="31">
        <v>0.86</v>
      </c>
      <c r="J194" s="30">
        <v>2</v>
      </c>
      <c r="K194" s="31">
        <v>0.86</v>
      </c>
      <c r="L194" s="30">
        <v>3</v>
      </c>
      <c r="M194" s="30">
        <v>1.4</v>
      </c>
      <c r="N194" s="30">
        <v>3</v>
      </c>
      <c r="O194" s="30">
        <v>1.4</v>
      </c>
      <c r="P194" s="166">
        <v>50</v>
      </c>
      <c r="Q194" s="93">
        <v>1</v>
      </c>
      <c r="R194" s="93">
        <v>0</v>
      </c>
      <c r="S194" s="93">
        <v>0</v>
      </c>
    </row>
    <row r="195" spans="1:19" ht="15">
      <c r="A195" s="90" t="s">
        <v>319</v>
      </c>
      <c r="B195" s="30">
        <v>14</v>
      </c>
      <c r="C195" s="31">
        <v>1.36</v>
      </c>
      <c r="D195" s="31">
        <v>0</v>
      </c>
      <c r="E195" s="31">
        <v>1.36</v>
      </c>
      <c r="F195" s="30">
        <v>2</v>
      </c>
      <c r="G195" s="31">
        <v>1.5</v>
      </c>
      <c r="H195" s="30">
        <v>2</v>
      </c>
      <c r="I195" s="31">
        <v>1.37</v>
      </c>
      <c r="J195" s="30">
        <v>2</v>
      </c>
      <c r="K195" s="31">
        <v>1.37</v>
      </c>
      <c r="L195" s="30">
        <v>3</v>
      </c>
      <c r="M195" s="30">
        <v>1.4</v>
      </c>
      <c r="N195" s="30">
        <v>3</v>
      </c>
      <c r="O195" s="30">
        <v>1.4</v>
      </c>
      <c r="P195" s="166">
        <v>50</v>
      </c>
      <c r="Q195" s="93">
        <v>1</v>
      </c>
      <c r="R195" s="93">
        <v>0</v>
      </c>
      <c r="S195" s="93">
        <v>0</v>
      </c>
    </row>
    <row r="196" spans="1:19" ht="15">
      <c r="A196" s="90" t="s">
        <v>42</v>
      </c>
      <c r="B196" s="30">
        <v>16</v>
      </c>
      <c r="C196" s="31">
        <v>0.85</v>
      </c>
      <c r="D196" s="31">
        <v>2</v>
      </c>
      <c r="E196" s="31">
        <v>0.85</v>
      </c>
      <c r="F196" s="30">
        <v>2</v>
      </c>
      <c r="G196" s="31">
        <v>1.83</v>
      </c>
      <c r="H196" s="30">
        <v>2</v>
      </c>
      <c r="I196" s="31">
        <v>0.86</v>
      </c>
      <c r="J196" s="30">
        <v>2</v>
      </c>
      <c r="K196" s="31">
        <v>0.86</v>
      </c>
      <c r="L196" s="30">
        <v>3</v>
      </c>
      <c r="M196" s="30">
        <v>1.73</v>
      </c>
      <c r="N196" s="30">
        <v>3</v>
      </c>
      <c r="O196" s="30">
        <v>1.73</v>
      </c>
      <c r="P196" s="166">
        <v>55</v>
      </c>
      <c r="Q196" s="93">
        <v>0</v>
      </c>
      <c r="R196" s="93">
        <v>1</v>
      </c>
      <c r="S196" s="93">
        <v>0</v>
      </c>
    </row>
    <row r="197" spans="1:19" ht="15">
      <c r="A197" s="90" t="s">
        <v>320</v>
      </c>
      <c r="B197" s="30">
        <v>16</v>
      </c>
      <c r="C197" s="31">
        <v>1.36</v>
      </c>
      <c r="D197" s="31">
        <v>2</v>
      </c>
      <c r="E197" s="31">
        <v>1.36</v>
      </c>
      <c r="F197" s="30">
        <v>2</v>
      </c>
      <c r="G197" s="31">
        <v>1.83</v>
      </c>
      <c r="H197" s="30">
        <v>2</v>
      </c>
      <c r="I197" s="31">
        <v>1.37</v>
      </c>
      <c r="J197" s="30">
        <v>2</v>
      </c>
      <c r="K197" s="31">
        <v>1.37</v>
      </c>
      <c r="L197" s="30">
        <v>3</v>
      </c>
      <c r="M197" s="30">
        <v>1.73</v>
      </c>
      <c r="N197" s="30">
        <v>3</v>
      </c>
      <c r="O197" s="30">
        <v>1.73</v>
      </c>
      <c r="P197" s="166">
        <v>55</v>
      </c>
      <c r="Q197" s="93">
        <v>0</v>
      </c>
      <c r="R197" s="93">
        <v>1</v>
      </c>
      <c r="S197" s="93">
        <v>0</v>
      </c>
    </row>
    <row r="198" spans="1:19" ht="15">
      <c r="A198" s="90" t="s">
        <v>321</v>
      </c>
      <c r="B198" s="30">
        <v>21</v>
      </c>
      <c r="C198" s="31">
        <v>0.85</v>
      </c>
      <c r="D198" s="31">
        <v>2</v>
      </c>
      <c r="E198" s="31">
        <v>0.85</v>
      </c>
      <c r="F198" s="30">
        <v>2</v>
      </c>
      <c r="G198" s="31">
        <v>2.33</v>
      </c>
      <c r="H198" s="30">
        <v>2</v>
      </c>
      <c r="I198" s="31">
        <v>0.86</v>
      </c>
      <c r="J198" s="30">
        <v>2</v>
      </c>
      <c r="K198" s="31">
        <v>0.86</v>
      </c>
      <c r="L198" s="30">
        <v>3</v>
      </c>
      <c r="M198" s="30">
        <v>2.23</v>
      </c>
      <c r="N198" s="30">
        <v>3</v>
      </c>
      <c r="O198" s="30">
        <v>2.23</v>
      </c>
      <c r="P198" s="166">
        <v>60</v>
      </c>
      <c r="Q198" s="93">
        <v>0</v>
      </c>
      <c r="R198" s="93">
        <v>0</v>
      </c>
      <c r="S198" s="93">
        <v>1</v>
      </c>
    </row>
    <row r="199" spans="1:19" ht="51">
      <c r="A199" s="115" t="s">
        <v>95</v>
      </c>
      <c r="B199" s="89" t="s">
        <v>331</v>
      </c>
      <c r="C199" s="89" t="s">
        <v>117</v>
      </c>
      <c r="D199" s="89" t="s">
        <v>332</v>
      </c>
      <c r="E199" s="89" t="s">
        <v>336</v>
      </c>
      <c r="F199" s="89" t="s">
        <v>313</v>
      </c>
      <c r="G199" s="89" t="s">
        <v>118</v>
      </c>
      <c r="H199" s="89" t="s">
        <v>333</v>
      </c>
      <c r="I199" s="89" t="s">
        <v>334</v>
      </c>
      <c r="J199" s="89" t="s">
        <v>335</v>
      </c>
      <c r="K199" s="89" t="s">
        <v>334</v>
      </c>
      <c r="L199" s="89" t="s">
        <v>294</v>
      </c>
      <c r="M199" s="89" t="s">
        <v>334</v>
      </c>
      <c r="N199" s="89" t="s">
        <v>295</v>
      </c>
      <c r="O199" s="89" t="s">
        <v>334</v>
      </c>
      <c r="P199" s="89" t="s">
        <v>34</v>
      </c>
      <c r="Q199" s="89" t="s">
        <v>94</v>
      </c>
      <c r="R199" s="89" t="s">
        <v>97</v>
      </c>
      <c r="S199" s="89" t="s">
        <v>343</v>
      </c>
    </row>
    <row r="200" spans="1:19" ht="15">
      <c r="A200" s="90" t="s">
        <v>91</v>
      </c>
      <c r="B200" s="30">
        <v>0</v>
      </c>
      <c r="C200" s="31">
        <v>0</v>
      </c>
      <c r="D200" s="31">
        <v>0</v>
      </c>
      <c r="E200" s="31">
        <v>0</v>
      </c>
      <c r="F200" s="30">
        <v>0</v>
      </c>
      <c r="G200" s="31">
        <v>0</v>
      </c>
      <c r="H200" s="30">
        <v>0</v>
      </c>
      <c r="I200" s="173">
        <v>0</v>
      </c>
      <c r="J200" s="30">
        <v>0</v>
      </c>
      <c r="K200" s="30">
        <v>0</v>
      </c>
      <c r="L200" s="30">
        <v>0</v>
      </c>
      <c r="M200" s="30">
        <v>0</v>
      </c>
      <c r="N200" s="30">
        <v>0</v>
      </c>
      <c r="O200" s="30">
        <v>0</v>
      </c>
      <c r="P200" s="166">
        <v>0</v>
      </c>
      <c r="Q200" s="93">
        <v>0</v>
      </c>
      <c r="R200" s="93">
        <v>0</v>
      </c>
      <c r="S200" s="93">
        <v>0</v>
      </c>
    </row>
    <row r="201" spans="1:19" ht="15">
      <c r="A201" s="90" t="s">
        <v>45</v>
      </c>
      <c r="B201" s="30">
        <v>28</v>
      </c>
      <c r="C201" s="167">
        <v>1.66</v>
      </c>
      <c r="D201" s="31">
        <v>0</v>
      </c>
      <c r="E201" s="167">
        <v>1.66</v>
      </c>
      <c r="F201" s="30">
        <v>4</v>
      </c>
      <c r="G201" s="31">
        <v>1.5</v>
      </c>
      <c r="H201" s="30">
        <v>4</v>
      </c>
      <c r="I201" s="172">
        <v>1.67</v>
      </c>
      <c r="J201" s="30">
        <v>4</v>
      </c>
      <c r="K201" s="172">
        <v>1.67</v>
      </c>
      <c r="L201" s="30">
        <v>8</v>
      </c>
      <c r="M201" s="30">
        <v>1.4</v>
      </c>
      <c r="N201" s="30">
        <v>8</v>
      </c>
      <c r="O201" s="30">
        <v>1.4</v>
      </c>
      <c r="P201" s="166">
        <v>100</v>
      </c>
      <c r="Q201" s="93">
        <v>2</v>
      </c>
      <c r="R201" s="93">
        <v>0</v>
      </c>
      <c r="S201" s="93">
        <v>0</v>
      </c>
    </row>
    <row r="202" spans="1:19" ht="15">
      <c r="A202" s="90" t="s">
        <v>322</v>
      </c>
      <c r="B202" s="30">
        <v>28</v>
      </c>
      <c r="C202" s="31">
        <v>1.86</v>
      </c>
      <c r="D202" s="31">
        <v>0</v>
      </c>
      <c r="E202" s="31">
        <v>1.86</v>
      </c>
      <c r="F202" s="30">
        <v>4</v>
      </c>
      <c r="G202" s="31">
        <v>1.5</v>
      </c>
      <c r="H202" s="30">
        <v>4</v>
      </c>
      <c r="I202" s="171">
        <v>1.86</v>
      </c>
      <c r="J202" s="30">
        <v>4</v>
      </c>
      <c r="K202" s="171">
        <v>1.86</v>
      </c>
      <c r="L202" s="30">
        <v>8</v>
      </c>
      <c r="M202" s="30">
        <v>1.4</v>
      </c>
      <c r="N202" s="30">
        <v>8</v>
      </c>
      <c r="O202" s="30">
        <v>1.4</v>
      </c>
      <c r="P202" s="166">
        <v>100</v>
      </c>
      <c r="Q202" s="93">
        <v>2</v>
      </c>
      <c r="R202" s="93">
        <v>0</v>
      </c>
      <c r="S202" s="93">
        <v>0</v>
      </c>
    </row>
    <row r="203" spans="1:19" ht="15">
      <c r="A203" s="90" t="s">
        <v>46</v>
      </c>
      <c r="B203" s="30">
        <v>32</v>
      </c>
      <c r="C203" s="167">
        <v>1.66</v>
      </c>
      <c r="D203" s="31">
        <v>4</v>
      </c>
      <c r="E203" s="167">
        <v>1.66</v>
      </c>
      <c r="F203" s="30">
        <v>4</v>
      </c>
      <c r="G203" s="31">
        <v>1.83</v>
      </c>
      <c r="H203" s="30">
        <v>4</v>
      </c>
      <c r="I203" s="172">
        <v>1.67</v>
      </c>
      <c r="J203" s="30">
        <v>4</v>
      </c>
      <c r="K203" s="172">
        <v>1.67</v>
      </c>
      <c r="L203" s="30">
        <v>8</v>
      </c>
      <c r="M203" s="30">
        <v>1.73</v>
      </c>
      <c r="N203" s="30">
        <v>8</v>
      </c>
      <c r="O203" s="30">
        <v>1.73</v>
      </c>
      <c r="P203" s="166">
        <v>110</v>
      </c>
      <c r="Q203" s="93">
        <v>0</v>
      </c>
      <c r="R203" s="93">
        <v>2</v>
      </c>
      <c r="S203" s="93">
        <v>0</v>
      </c>
    </row>
    <row r="204" spans="1:19" ht="15">
      <c r="A204" s="90" t="s">
        <v>323</v>
      </c>
      <c r="B204" s="30">
        <v>32</v>
      </c>
      <c r="C204" s="31">
        <v>1.86</v>
      </c>
      <c r="D204" s="31">
        <v>4</v>
      </c>
      <c r="E204" s="31">
        <v>1.86</v>
      </c>
      <c r="F204" s="30">
        <v>4</v>
      </c>
      <c r="G204" s="31">
        <v>1.83</v>
      </c>
      <c r="H204" s="30">
        <v>4</v>
      </c>
      <c r="I204" s="172">
        <v>1.67</v>
      </c>
      <c r="J204" s="30">
        <v>4</v>
      </c>
      <c r="K204" s="172">
        <v>1.67</v>
      </c>
      <c r="L204" s="30">
        <v>8</v>
      </c>
      <c r="M204" s="30">
        <v>1.73</v>
      </c>
      <c r="N204" s="30">
        <v>8</v>
      </c>
      <c r="O204" s="30">
        <v>1.73</v>
      </c>
      <c r="P204" s="166">
        <v>110</v>
      </c>
      <c r="Q204" s="93">
        <v>0</v>
      </c>
      <c r="R204" s="93">
        <v>2</v>
      </c>
      <c r="S204" s="93">
        <v>0</v>
      </c>
    </row>
    <row r="205" spans="1:19" ht="15">
      <c r="A205" s="90" t="s">
        <v>47</v>
      </c>
      <c r="B205" s="30">
        <v>26</v>
      </c>
      <c r="C205" s="167">
        <v>1.66</v>
      </c>
      <c r="D205" s="31">
        <v>0</v>
      </c>
      <c r="E205" s="167">
        <v>1.66</v>
      </c>
      <c r="F205" s="30">
        <v>4</v>
      </c>
      <c r="G205" s="168">
        <v>1.39</v>
      </c>
      <c r="H205" s="30">
        <v>4</v>
      </c>
      <c r="I205" s="172">
        <v>1.67</v>
      </c>
      <c r="J205" s="30">
        <v>4</v>
      </c>
      <c r="K205" s="172">
        <v>1.67</v>
      </c>
      <c r="L205" s="30">
        <v>8</v>
      </c>
      <c r="M205" s="168">
        <v>1.29</v>
      </c>
      <c r="N205" s="30">
        <v>8</v>
      </c>
      <c r="O205" s="168">
        <v>1.29</v>
      </c>
      <c r="P205" s="166">
        <v>100</v>
      </c>
      <c r="Q205" s="93">
        <v>0</v>
      </c>
      <c r="R205" s="93">
        <v>0</v>
      </c>
      <c r="S205" s="93">
        <v>0</v>
      </c>
    </row>
    <row r="206" spans="1:19" ht="15">
      <c r="A206" s="90" t="s">
        <v>49</v>
      </c>
      <c r="B206" s="30">
        <v>26</v>
      </c>
      <c r="C206" s="167">
        <v>1.92</v>
      </c>
      <c r="D206" s="31">
        <v>0</v>
      </c>
      <c r="E206" s="167">
        <v>1.92</v>
      </c>
      <c r="F206" s="30">
        <v>4</v>
      </c>
      <c r="G206" s="168">
        <v>1.39</v>
      </c>
      <c r="H206" s="30">
        <v>4</v>
      </c>
      <c r="I206" s="172">
        <v>1.93</v>
      </c>
      <c r="J206" s="30">
        <v>4</v>
      </c>
      <c r="K206" s="172">
        <v>1.93</v>
      </c>
      <c r="L206" s="30">
        <v>8</v>
      </c>
      <c r="M206" s="168">
        <v>1.29</v>
      </c>
      <c r="N206" s="30">
        <v>8</v>
      </c>
      <c r="O206" s="168">
        <v>1.29</v>
      </c>
      <c r="P206" s="166">
        <v>100</v>
      </c>
      <c r="Q206" s="93">
        <v>0</v>
      </c>
      <c r="R206" s="93">
        <v>0</v>
      </c>
      <c r="S206" s="93">
        <v>0</v>
      </c>
    </row>
    <row r="207" spans="1:19" ht="15">
      <c r="A207" s="90" t="s">
        <v>51</v>
      </c>
      <c r="B207" s="30">
        <v>26</v>
      </c>
      <c r="C207" s="167">
        <v>2.12</v>
      </c>
      <c r="D207" s="31">
        <v>0</v>
      </c>
      <c r="E207" s="167">
        <v>2.12</v>
      </c>
      <c r="F207" s="30">
        <v>4</v>
      </c>
      <c r="G207" s="168">
        <v>1.39</v>
      </c>
      <c r="H207" s="30">
        <v>4</v>
      </c>
      <c r="I207" s="172">
        <v>2.13</v>
      </c>
      <c r="J207" s="30">
        <v>4</v>
      </c>
      <c r="K207" s="172">
        <v>2.13</v>
      </c>
      <c r="L207" s="30">
        <v>8</v>
      </c>
      <c r="M207" s="168">
        <v>1.29</v>
      </c>
      <c r="N207" s="30">
        <v>8</v>
      </c>
      <c r="O207" s="168">
        <v>1.29</v>
      </c>
      <c r="P207" s="166">
        <v>100</v>
      </c>
      <c r="Q207" s="93">
        <v>0</v>
      </c>
      <c r="R207" s="93">
        <v>0</v>
      </c>
      <c r="S207" s="93">
        <v>0</v>
      </c>
    </row>
    <row r="208" spans="1:19" ht="15">
      <c r="A208" s="90" t="s">
        <v>53</v>
      </c>
      <c r="B208" s="30">
        <v>30</v>
      </c>
      <c r="C208" s="167">
        <v>1.66</v>
      </c>
      <c r="D208" s="31">
        <v>4</v>
      </c>
      <c r="E208" s="167">
        <v>1.66</v>
      </c>
      <c r="F208" s="30">
        <v>4</v>
      </c>
      <c r="G208" s="168">
        <v>1.72</v>
      </c>
      <c r="H208" s="30">
        <v>4</v>
      </c>
      <c r="I208" s="172">
        <v>1.67</v>
      </c>
      <c r="J208" s="30">
        <v>4</v>
      </c>
      <c r="K208" s="172">
        <v>1.67</v>
      </c>
      <c r="L208" s="30">
        <v>8</v>
      </c>
      <c r="M208" s="168">
        <v>1.62</v>
      </c>
      <c r="N208" s="30">
        <v>8</v>
      </c>
      <c r="O208" s="168">
        <v>1.62</v>
      </c>
      <c r="P208" s="166">
        <v>110</v>
      </c>
      <c r="Q208" s="93">
        <v>0</v>
      </c>
      <c r="R208" s="93">
        <v>0</v>
      </c>
      <c r="S208" s="93">
        <v>0</v>
      </c>
    </row>
    <row r="209" spans="1:19" ht="15">
      <c r="A209" s="90" t="s">
        <v>55</v>
      </c>
      <c r="B209" s="30">
        <v>30</v>
      </c>
      <c r="C209" s="167">
        <v>1.92</v>
      </c>
      <c r="D209" s="31">
        <v>4</v>
      </c>
      <c r="E209" s="167">
        <v>1.92</v>
      </c>
      <c r="F209" s="30">
        <v>4</v>
      </c>
      <c r="G209" s="168">
        <v>1.72</v>
      </c>
      <c r="H209" s="30">
        <v>4</v>
      </c>
      <c r="I209" s="172">
        <v>1.93</v>
      </c>
      <c r="J209" s="30">
        <v>4</v>
      </c>
      <c r="K209" s="172">
        <v>1.93</v>
      </c>
      <c r="L209" s="30">
        <v>8</v>
      </c>
      <c r="M209" s="168">
        <v>1.62</v>
      </c>
      <c r="N209" s="30">
        <v>8</v>
      </c>
      <c r="O209" s="168">
        <v>1.62</v>
      </c>
      <c r="P209" s="166">
        <v>110</v>
      </c>
      <c r="Q209" s="93">
        <v>0</v>
      </c>
      <c r="R209" s="93">
        <v>0</v>
      </c>
      <c r="S209" s="93">
        <v>0</v>
      </c>
    </row>
    <row r="210" spans="1:19" ht="15">
      <c r="A210" s="90" t="s">
        <v>58</v>
      </c>
      <c r="B210" s="30">
        <v>30</v>
      </c>
      <c r="C210" s="167">
        <v>2.12</v>
      </c>
      <c r="D210" s="31">
        <v>4</v>
      </c>
      <c r="E210" s="167">
        <v>2.12</v>
      </c>
      <c r="F210" s="30">
        <v>4</v>
      </c>
      <c r="G210" s="168">
        <v>1.72</v>
      </c>
      <c r="H210" s="30">
        <v>4</v>
      </c>
      <c r="I210" s="172">
        <v>2.13</v>
      </c>
      <c r="J210" s="30">
        <v>4</v>
      </c>
      <c r="K210" s="172">
        <v>2.13</v>
      </c>
      <c r="L210" s="30">
        <v>8</v>
      </c>
      <c r="M210" s="168">
        <v>1.62</v>
      </c>
      <c r="N210" s="30">
        <v>8</v>
      </c>
      <c r="O210" s="168">
        <v>1.62</v>
      </c>
      <c r="P210" s="166">
        <v>110</v>
      </c>
      <c r="Q210" s="93">
        <v>0</v>
      </c>
      <c r="R210" s="93">
        <v>0</v>
      </c>
      <c r="S210" s="93">
        <v>0</v>
      </c>
    </row>
    <row r="211" spans="1:19" ht="15">
      <c r="A211" s="90" t="s">
        <v>60</v>
      </c>
      <c r="B211" s="30">
        <v>26</v>
      </c>
      <c r="C211" s="31">
        <v>1.66</v>
      </c>
      <c r="D211" s="31">
        <v>0</v>
      </c>
      <c r="E211" s="31">
        <v>1.66</v>
      </c>
      <c r="F211" s="30">
        <v>4</v>
      </c>
      <c r="G211" s="31">
        <v>1.39</v>
      </c>
      <c r="H211" s="30">
        <v>4</v>
      </c>
      <c r="I211" s="171">
        <v>1.67</v>
      </c>
      <c r="J211" s="30">
        <v>4</v>
      </c>
      <c r="K211" s="171">
        <v>1.67</v>
      </c>
      <c r="L211" s="30">
        <v>8</v>
      </c>
      <c r="M211" s="30">
        <v>1.29</v>
      </c>
      <c r="N211" s="30">
        <v>8</v>
      </c>
      <c r="O211" s="30">
        <v>1.29</v>
      </c>
      <c r="P211" s="166">
        <v>100</v>
      </c>
      <c r="Q211" s="93">
        <v>0</v>
      </c>
      <c r="R211" s="93">
        <v>0</v>
      </c>
      <c r="S211" s="93">
        <v>0</v>
      </c>
    </row>
    <row r="212" spans="1:19" ht="15">
      <c r="A212" s="90" t="s">
        <v>63</v>
      </c>
      <c r="B212" s="30">
        <v>26</v>
      </c>
      <c r="C212" s="31">
        <v>1.92</v>
      </c>
      <c r="D212" s="31">
        <v>0</v>
      </c>
      <c r="E212" s="31">
        <v>1.92</v>
      </c>
      <c r="F212" s="30">
        <v>4</v>
      </c>
      <c r="G212" s="31">
        <v>1.39</v>
      </c>
      <c r="H212" s="30">
        <v>4</v>
      </c>
      <c r="I212" s="172">
        <v>1.93</v>
      </c>
      <c r="J212" s="30">
        <v>4</v>
      </c>
      <c r="K212" s="172">
        <v>1.93</v>
      </c>
      <c r="L212" s="30">
        <v>8</v>
      </c>
      <c r="M212" s="30">
        <v>1.29</v>
      </c>
      <c r="N212" s="30">
        <v>8</v>
      </c>
      <c r="O212" s="30">
        <v>1.29</v>
      </c>
      <c r="P212" s="166">
        <v>100</v>
      </c>
      <c r="Q212" s="93">
        <v>0</v>
      </c>
      <c r="R212" s="93">
        <v>0</v>
      </c>
      <c r="S212" s="93">
        <v>0</v>
      </c>
    </row>
    <row r="213" spans="1:19" ht="15">
      <c r="A213" s="90" t="s">
        <v>64</v>
      </c>
      <c r="B213" s="30">
        <v>26</v>
      </c>
      <c r="C213" s="31">
        <v>2.12</v>
      </c>
      <c r="D213" s="31">
        <v>0</v>
      </c>
      <c r="E213" s="31">
        <v>2.12</v>
      </c>
      <c r="F213" s="30">
        <v>4</v>
      </c>
      <c r="G213" s="31">
        <v>1.39</v>
      </c>
      <c r="H213" s="30">
        <v>4</v>
      </c>
      <c r="I213" s="171">
        <v>2.13</v>
      </c>
      <c r="J213" s="30">
        <v>4</v>
      </c>
      <c r="K213" s="171">
        <v>2.13</v>
      </c>
      <c r="L213" s="30">
        <v>8</v>
      </c>
      <c r="M213" s="30">
        <v>1.29</v>
      </c>
      <c r="N213" s="30">
        <v>8</v>
      </c>
      <c r="O213" s="30">
        <v>1.29</v>
      </c>
      <c r="P213" s="166">
        <v>100</v>
      </c>
      <c r="Q213" s="93">
        <v>0</v>
      </c>
      <c r="R213" s="93">
        <v>0</v>
      </c>
      <c r="S213" s="93">
        <v>0</v>
      </c>
    </row>
    <row r="214" spans="1:19" ht="15">
      <c r="A214" s="90" t="s">
        <v>70</v>
      </c>
      <c r="B214" s="30">
        <v>30</v>
      </c>
      <c r="C214" s="31">
        <v>1.66</v>
      </c>
      <c r="D214" s="31">
        <v>4</v>
      </c>
      <c r="E214" s="31">
        <v>1.66</v>
      </c>
      <c r="F214" s="30">
        <v>4</v>
      </c>
      <c r="G214" s="31">
        <v>1.72</v>
      </c>
      <c r="H214" s="30">
        <v>4</v>
      </c>
      <c r="I214" s="171">
        <v>1.67</v>
      </c>
      <c r="J214" s="30">
        <v>4</v>
      </c>
      <c r="K214" s="171">
        <v>1.67</v>
      </c>
      <c r="L214" s="30">
        <v>8</v>
      </c>
      <c r="M214" s="30">
        <v>1.62</v>
      </c>
      <c r="N214" s="30">
        <v>8</v>
      </c>
      <c r="O214" s="30">
        <v>1.62</v>
      </c>
      <c r="P214" s="166">
        <v>110</v>
      </c>
      <c r="Q214" s="93">
        <v>0</v>
      </c>
      <c r="R214" s="93">
        <v>0</v>
      </c>
      <c r="S214" s="93">
        <v>0</v>
      </c>
    </row>
    <row r="215" spans="1:19" ht="15">
      <c r="A215" s="90" t="s">
        <v>77</v>
      </c>
      <c r="B215" s="30">
        <v>30</v>
      </c>
      <c r="C215" s="31">
        <v>1.92</v>
      </c>
      <c r="D215" s="31">
        <v>4</v>
      </c>
      <c r="E215" s="31">
        <v>1.92</v>
      </c>
      <c r="F215" s="30">
        <v>4</v>
      </c>
      <c r="G215" s="31">
        <v>1.72</v>
      </c>
      <c r="H215" s="30">
        <v>4</v>
      </c>
      <c r="I215" s="172">
        <v>1.93</v>
      </c>
      <c r="J215" s="30">
        <v>4</v>
      </c>
      <c r="K215" s="172">
        <v>1.93</v>
      </c>
      <c r="L215" s="30">
        <v>8</v>
      </c>
      <c r="M215" s="30">
        <v>1.62</v>
      </c>
      <c r="N215" s="30">
        <v>8</v>
      </c>
      <c r="O215" s="30">
        <v>1.62</v>
      </c>
      <c r="P215" s="166">
        <v>110</v>
      </c>
      <c r="Q215" s="93">
        <v>0</v>
      </c>
      <c r="R215" s="93">
        <v>0</v>
      </c>
      <c r="S215" s="93">
        <v>0</v>
      </c>
    </row>
    <row r="216" spans="1:19" ht="15">
      <c r="A216" s="90" t="s">
        <v>79</v>
      </c>
      <c r="B216" s="30">
        <v>30</v>
      </c>
      <c r="C216" s="31">
        <v>2.12</v>
      </c>
      <c r="D216" s="31">
        <v>4</v>
      </c>
      <c r="E216" s="31">
        <v>2.12</v>
      </c>
      <c r="F216" s="30">
        <v>4</v>
      </c>
      <c r="G216" s="31">
        <v>1.72</v>
      </c>
      <c r="H216" s="30">
        <v>4</v>
      </c>
      <c r="I216" s="171">
        <v>2.13</v>
      </c>
      <c r="J216" s="30">
        <v>4</v>
      </c>
      <c r="K216" s="171">
        <v>2.13</v>
      </c>
      <c r="L216" s="30">
        <v>8</v>
      </c>
      <c r="M216" s="30">
        <v>1.62</v>
      </c>
      <c r="N216" s="30">
        <v>8</v>
      </c>
      <c r="O216" s="30">
        <v>1.62</v>
      </c>
      <c r="P216" s="166">
        <v>110</v>
      </c>
      <c r="Q216" s="93">
        <v>0</v>
      </c>
      <c r="R216" s="93">
        <v>0</v>
      </c>
      <c r="S216" s="93">
        <v>0</v>
      </c>
    </row>
  </sheetData>
  <sheetProtection/>
  <mergeCells count="17">
    <mergeCell ref="A161:A162"/>
    <mergeCell ref="B3:C3"/>
    <mergeCell ref="A73:A74"/>
    <mergeCell ref="B73:B74"/>
    <mergeCell ref="C73:C74"/>
    <mergeCell ref="H127:I127"/>
    <mergeCell ref="F74:G74"/>
    <mergeCell ref="A127:A128"/>
    <mergeCell ref="B119:C119"/>
    <mergeCell ref="D119:E119"/>
    <mergeCell ref="F119:G119"/>
    <mergeCell ref="H119:I119"/>
    <mergeCell ref="A119:A120"/>
    <mergeCell ref="B127:C127"/>
    <mergeCell ref="D127:E127"/>
    <mergeCell ref="F127:G127"/>
    <mergeCell ref="D74:E7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363"/>
  <sheetViews>
    <sheetView zoomScale="70" zoomScaleNormal="70" zoomScaleSheetLayoutView="50" zoomScalePageLayoutView="55" workbookViewId="0" topLeftCell="A1">
      <selection activeCell="A1" sqref="A1"/>
    </sheetView>
  </sheetViews>
  <sheetFormatPr defaultColWidth="9.140625" defaultRowHeight="15"/>
  <cols>
    <col min="1" max="1" width="55.7109375" style="2" customWidth="1"/>
    <col min="2" max="2" width="26.57421875" style="2" customWidth="1"/>
    <col min="3" max="3" width="22.421875" style="2" customWidth="1"/>
    <col min="4" max="4" width="21.00390625" style="2" customWidth="1"/>
    <col min="5" max="10" width="14.421875" style="2" customWidth="1"/>
    <col min="11" max="11" width="12.57421875" style="2" customWidth="1"/>
    <col min="12" max="12" width="13.57421875" style="2" customWidth="1"/>
    <col min="13" max="13" width="14.8515625" style="2" customWidth="1"/>
    <col min="14" max="14" width="14.140625" style="2" customWidth="1"/>
    <col min="15" max="15" width="23.57421875" style="2" customWidth="1"/>
    <col min="16" max="16" width="19.421875" style="2" customWidth="1"/>
    <col min="17" max="17" width="13.7109375" style="2" customWidth="1"/>
    <col min="18" max="21" width="15.421875" style="2" customWidth="1"/>
    <col min="22" max="22" width="8.00390625" style="2" hidden="1" customWidth="1"/>
    <col min="23" max="23" width="9.00390625" style="2" hidden="1" customWidth="1"/>
    <col min="24" max="24" width="9.140625" style="2" hidden="1" customWidth="1"/>
    <col min="25" max="25" width="8.140625" style="2" customWidth="1"/>
    <col min="26" max="26" width="8.8515625" style="2" customWidth="1"/>
    <col min="27" max="27" width="9.00390625" style="2" customWidth="1"/>
    <col min="28" max="28" width="13.8515625" style="2" customWidth="1"/>
    <col min="29" max="29" width="10.8515625" style="2" customWidth="1"/>
    <col min="30" max="30" width="9.140625" style="2" customWidth="1"/>
    <col min="31" max="16384" width="9.140625" style="2" customWidth="1"/>
  </cols>
  <sheetData>
    <row r="1" spans="1:18" ht="12.75">
      <c r="A1" s="185"/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</row>
    <row r="2" spans="1:21" ht="18" customHeight="1">
      <c r="A2" s="303" t="s">
        <v>227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4"/>
      <c r="T2" s="4"/>
      <c r="U2" s="178"/>
    </row>
    <row r="3" spans="1:20" ht="12.75">
      <c r="A3" s="5"/>
      <c r="B3" s="6"/>
      <c r="L3" s="7"/>
      <c r="M3" s="7"/>
      <c r="O3" s="8"/>
      <c r="P3" s="8"/>
      <c r="S3" s="9"/>
      <c r="T3" s="9"/>
    </row>
    <row r="4" spans="1:19" ht="18">
      <c r="A4" s="293" t="s">
        <v>228</v>
      </c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10"/>
      <c r="P4" s="10"/>
      <c r="Q4" s="8"/>
      <c r="R4" s="9"/>
      <c r="S4" s="10"/>
    </row>
    <row r="5" spans="1:20" ht="21.75" customHeight="1">
      <c r="A5" s="282" t="s">
        <v>160</v>
      </c>
      <c r="B5" s="292"/>
      <c r="C5" s="189" t="s">
        <v>0</v>
      </c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251" t="s">
        <v>1</v>
      </c>
      <c r="Q5" s="252"/>
      <c r="R5" s="252"/>
      <c r="S5" s="252"/>
      <c r="T5" s="253"/>
    </row>
    <row r="6" spans="1:21" ht="25.5" customHeight="1">
      <c r="A6" s="284"/>
      <c r="B6" s="286"/>
      <c r="C6" s="240" t="s">
        <v>154</v>
      </c>
      <c r="D6" s="240" t="s">
        <v>195</v>
      </c>
      <c r="E6" s="250" t="s">
        <v>288</v>
      </c>
      <c r="F6" s="250"/>
      <c r="G6" s="250"/>
      <c r="H6" s="250" t="s">
        <v>8</v>
      </c>
      <c r="I6" s="250"/>
      <c r="J6" s="250"/>
      <c r="K6" s="240" t="s">
        <v>9</v>
      </c>
      <c r="L6" s="240" t="s">
        <v>10</v>
      </c>
      <c r="M6" s="240" t="s">
        <v>11</v>
      </c>
      <c r="N6" s="240" t="s">
        <v>12</v>
      </c>
      <c r="O6" s="240" t="s">
        <v>221</v>
      </c>
      <c r="P6" s="261" t="s">
        <v>13</v>
      </c>
      <c r="Q6" s="262"/>
      <c r="R6" s="263"/>
      <c r="S6" s="240" t="s">
        <v>352</v>
      </c>
      <c r="T6" s="250" t="s">
        <v>14</v>
      </c>
      <c r="U6" s="13"/>
    </row>
    <row r="7" spans="1:21" ht="18.75" customHeight="1">
      <c r="A7" s="287"/>
      <c r="B7" s="288"/>
      <c r="C7" s="241"/>
      <c r="D7" s="241"/>
      <c r="E7" s="12" t="s">
        <v>278</v>
      </c>
      <c r="F7" s="12" t="s">
        <v>279</v>
      </c>
      <c r="G7" s="12" t="s">
        <v>280</v>
      </c>
      <c r="H7" s="12" t="s">
        <v>278</v>
      </c>
      <c r="I7" s="12" t="s">
        <v>279</v>
      </c>
      <c r="J7" s="12" t="s">
        <v>280</v>
      </c>
      <c r="K7" s="241"/>
      <c r="L7" s="241"/>
      <c r="M7" s="241"/>
      <c r="N7" s="241"/>
      <c r="O7" s="241"/>
      <c r="P7" s="289"/>
      <c r="Q7" s="290"/>
      <c r="R7" s="291"/>
      <c r="S7" s="241"/>
      <c r="T7" s="250"/>
      <c r="U7" s="13"/>
    </row>
    <row r="8" spans="1:21" ht="13.5" thickBot="1">
      <c r="A8" s="314" t="s">
        <v>17</v>
      </c>
      <c r="B8" s="314"/>
      <c r="C8" s="12" t="s">
        <v>18</v>
      </c>
      <c r="D8" s="12" t="s">
        <v>18</v>
      </c>
      <c r="E8" s="12" t="s">
        <v>19</v>
      </c>
      <c r="F8" s="12" t="s">
        <v>19</v>
      </c>
      <c r="G8" s="12" t="s">
        <v>19</v>
      </c>
      <c r="H8" s="12" t="s">
        <v>19</v>
      </c>
      <c r="I8" s="12" t="s">
        <v>19</v>
      </c>
      <c r="J8" s="12" t="s">
        <v>19</v>
      </c>
      <c r="K8" s="12" t="s">
        <v>19</v>
      </c>
      <c r="L8" s="12" t="s">
        <v>18</v>
      </c>
      <c r="M8" s="12" t="s">
        <v>18</v>
      </c>
      <c r="N8" s="12" t="s">
        <v>19</v>
      </c>
      <c r="O8" s="12" t="s">
        <v>18</v>
      </c>
      <c r="P8" s="12" t="s">
        <v>20</v>
      </c>
      <c r="Q8" s="12" t="s">
        <v>21</v>
      </c>
      <c r="R8" s="12" t="s">
        <v>344</v>
      </c>
      <c r="S8" s="12" t="s">
        <v>21</v>
      </c>
      <c r="T8" s="250"/>
      <c r="U8" s="13"/>
    </row>
    <row r="9" spans="1:21" ht="12.75" customHeight="1" hidden="1">
      <c r="A9" s="97"/>
      <c r="B9" s="15" t="s">
        <v>23</v>
      </c>
      <c r="C9" s="56">
        <v>459</v>
      </c>
      <c r="D9" s="56">
        <v>634</v>
      </c>
      <c r="E9" s="56">
        <v>299</v>
      </c>
      <c r="F9" s="56">
        <v>299</v>
      </c>
      <c r="G9" s="56">
        <v>404</v>
      </c>
      <c r="H9" s="56">
        <v>404</v>
      </c>
      <c r="I9" s="56">
        <v>404</v>
      </c>
      <c r="J9" s="56">
        <v>532</v>
      </c>
      <c r="K9" s="56">
        <v>166</v>
      </c>
      <c r="L9" s="56">
        <v>459</v>
      </c>
      <c r="M9" s="56">
        <v>532</v>
      </c>
      <c r="N9" s="56">
        <v>404</v>
      </c>
      <c r="O9" s="56">
        <v>327</v>
      </c>
      <c r="P9" s="56">
        <v>300</v>
      </c>
      <c r="Q9" s="163">
        <v>358</v>
      </c>
      <c r="R9" s="163">
        <v>451</v>
      </c>
      <c r="S9" s="244">
        <v>659</v>
      </c>
      <c r="T9" s="311">
        <v>80</v>
      </c>
      <c r="U9" s="13"/>
    </row>
    <row r="10" spans="1:21" ht="12.75" customHeight="1" hidden="1">
      <c r="A10" s="125"/>
      <c r="B10" s="15" t="s">
        <v>24</v>
      </c>
      <c r="C10" s="56">
        <v>390</v>
      </c>
      <c r="D10" s="56">
        <v>537</v>
      </c>
      <c r="E10" s="56">
        <v>255</v>
      </c>
      <c r="F10" s="56">
        <v>255</v>
      </c>
      <c r="G10" s="56">
        <v>343</v>
      </c>
      <c r="H10" s="56">
        <v>343</v>
      </c>
      <c r="I10" s="56">
        <v>343</v>
      </c>
      <c r="J10" s="56">
        <v>451</v>
      </c>
      <c r="K10" s="56">
        <v>143</v>
      </c>
      <c r="L10" s="56">
        <v>390</v>
      </c>
      <c r="M10" s="56">
        <v>451</v>
      </c>
      <c r="N10" s="56">
        <v>343</v>
      </c>
      <c r="O10" s="56">
        <v>279</v>
      </c>
      <c r="P10" s="56">
        <v>257</v>
      </c>
      <c r="Q10" s="163">
        <v>307</v>
      </c>
      <c r="R10" s="163">
        <v>386</v>
      </c>
      <c r="S10" s="245"/>
      <c r="T10" s="312"/>
      <c r="U10" s="13"/>
    </row>
    <row r="11" spans="1:21" ht="12.75" customHeight="1" hidden="1">
      <c r="A11" s="125"/>
      <c r="B11" s="15" t="s">
        <v>26</v>
      </c>
      <c r="C11" s="56">
        <v>331</v>
      </c>
      <c r="D11" s="56">
        <v>455</v>
      </c>
      <c r="E11" s="56">
        <v>218</v>
      </c>
      <c r="F11" s="56">
        <v>218</v>
      </c>
      <c r="G11" s="56">
        <v>292</v>
      </c>
      <c r="H11" s="56">
        <v>292</v>
      </c>
      <c r="I11" s="56">
        <v>292</v>
      </c>
      <c r="J11" s="56">
        <v>382</v>
      </c>
      <c r="K11" s="56">
        <v>123</v>
      </c>
      <c r="L11" s="56">
        <v>331</v>
      </c>
      <c r="M11" s="56">
        <v>382</v>
      </c>
      <c r="N11" s="56">
        <v>292</v>
      </c>
      <c r="O11" s="56">
        <v>237</v>
      </c>
      <c r="P11" s="56">
        <v>221</v>
      </c>
      <c r="Q11" s="163">
        <v>264</v>
      </c>
      <c r="R11" s="163">
        <v>332</v>
      </c>
      <c r="S11" s="245"/>
      <c r="T11" s="312"/>
      <c r="U11" s="13"/>
    </row>
    <row r="12" spans="1:21" ht="12.75" customHeight="1" hidden="1">
      <c r="A12" s="125"/>
      <c r="B12" s="15" t="s">
        <v>364</v>
      </c>
      <c r="C12" s="56">
        <v>278</v>
      </c>
      <c r="D12" s="56">
        <v>381</v>
      </c>
      <c r="E12" s="56">
        <v>184</v>
      </c>
      <c r="F12" s="56">
        <v>184</v>
      </c>
      <c r="G12" s="56">
        <v>245</v>
      </c>
      <c r="H12" s="56">
        <v>245</v>
      </c>
      <c r="I12" s="56">
        <v>245</v>
      </c>
      <c r="J12" s="56">
        <v>321</v>
      </c>
      <c r="K12" s="56">
        <v>106</v>
      </c>
      <c r="L12" s="56">
        <v>278</v>
      </c>
      <c r="M12" s="56">
        <v>321</v>
      </c>
      <c r="N12" s="56">
        <v>245</v>
      </c>
      <c r="O12" s="56">
        <v>200</v>
      </c>
      <c r="P12" s="56">
        <v>189</v>
      </c>
      <c r="Q12" s="163">
        <v>226</v>
      </c>
      <c r="R12" s="163">
        <v>285</v>
      </c>
      <c r="S12" s="245"/>
      <c r="T12" s="312"/>
      <c r="U12" s="13"/>
    </row>
    <row r="13" spans="1:21" ht="12.75" customHeight="1" hidden="1">
      <c r="A13" s="125"/>
      <c r="B13" s="15" t="s">
        <v>365</v>
      </c>
      <c r="C13" s="56">
        <v>263</v>
      </c>
      <c r="D13" s="56">
        <v>361</v>
      </c>
      <c r="E13" s="56">
        <v>175</v>
      </c>
      <c r="F13" s="56">
        <v>175</v>
      </c>
      <c r="G13" s="56">
        <v>233</v>
      </c>
      <c r="H13" s="56">
        <v>233</v>
      </c>
      <c r="I13" s="56">
        <v>233</v>
      </c>
      <c r="J13" s="56">
        <v>304</v>
      </c>
      <c r="K13" s="56">
        <v>101</v>
      </c>
      <c r="L13" s="56">
        <v>263</v>
      </c>
      <c r="M13" s="56">
        <v>304</v>
      </c>
      <c r="N13" s="56">
        <v>233</v>
      </c>
      <c r="O13" s="56">
        <v>190</v>
      </c>
      <c r="P13" s="56">
        <v>181</v>
      </c>
      <c r="Q13" s="163">
        <v>217</v>
      </c>
      <c r="R13" s="163">
        <v>272</v>
      </c>
      <c r="S13" s="245"/>
      <c r="T13" s="312"/>
      <c r="U13" s="13"/>
    </row>
    <row r="14" spans="1:21" ht="12.75" customHeight="1" hidden="1">
      <c r="A14" s="125"/>
      <c r="B14" s="15" t="s">
        <v>29</v>
      </c>
      <c r="C14" s="56">
        <v>368</v>
      </c>
      <c r="D14" s="56">
        <v>507</v>
      </c>
      <c r="E14" s="56">
        <v>241</v>
      </c>
      <c r="F14" s="56">
        <v>241</v>
      </c>
      <c r="G14" s="56">
        <v>324</v>
      </c>
      <c r="H14" s="56">
        <v>324</v>
      </c>
      <c r="I14" s="56">
        <v>324</v>
      </c>
      <c r="J14" s="56">
        <v>426</v>
      </c>
      <c r="K14" s="56">
        <v>136</v>
      </c>
      <c r="L14" s="56">
        <v>368</v>
      </c>
      <c r="M14" s="56">
        <v>426</v>
      </c>
      <c r="N14" s="56">
        <v>324</v>
      </c>
      <c r="O14" s="56">
        <v>263</v>
      </c>
      <c r="P14" s="56">
        <v>244</v>
      </c>
      <c r="Q14" s="163">
        <v>291</v>
      </c>
      <c r="R14" s="163">
        <v>367</v>
      </c>
      <c r="S14" s="245"/>
      <c r="T14" s="312"/>
      <c r="U14" s="13"/>
    </row>
    <row r="15" spans="1:21" ht="12.75" customHeight="1" hidden="1">
      <c r="A15" s="125"/>
      <c r="B15" s="15" t="s">
        <v>30</v>
      </c>
      <c r="C15" s="56">
        <v>237</v>
      </c>
      <c r="D15" s="56">
        <v>324</v>
      </c>
      <c r="E15" s="56">
        <v>158</v>
      </c>
      <c r="F15" s="56">
        <v>158</v>
      </c>
      <c r="G15" s="56">
        <v>210</v>
      </c>
      <c r="H15" s="56">
        <v>210</v>
      </c>
      <c r="I15" s="56">
        <v>210</v>
      </c>
      <c r="J15" s="56">
        <v>273</v>
      </c>
      <c r="K15" s="56">
        <v>92</v>
      </c>
      <c r="L15" s="56">
        <v>237</v>
      </c>
      <c r="M15" s="56">
        <v>273</v>
      </c>
      <c r="N15" s="56">
        <v>210</v>
      </c>
      <c r="O15" s="56">
        <v>172</v>
      </c>
      <c r="P15" s="56">
        <v>165</v>
      </c>
      <c r="Q15" s="163">
        <v>197</v>
      </c>
      <c r="R15" s="163">
        <v>248</v>
      </c>
      <c r="S15" s="245"/>
      <c r="T15" s="312"/>
      <c r="U15" s="13"/>
    </row>
    <row r="16" spans="1:21" ht="12.75" customHeight="1" hidden="1">
      <c r="A16" s="125"/>
      <c r="B16" s="15" t="s">
        <v>356</v>
      </c>
      <c r="C16" s="56">
        <v>364</v>
      </c>
      <c r="D16" s="56">
        <v>501</v>
      </c>
      <c r="E16" s="56">
        <v>239</v>
      </c>
      <c r="F16" s="56">
        <v>239</v>
      </c>
      <c r="G16" s="56">
        <v>321</v>
      </c>
      <c r="H16" s="56">
        <v>321</v>
      </c>
      <c r="I16" s="56">
        <v>321</v>
      </c>
      <c r="J16" s="56">
        <v>421</v>
      </c>
      <c r="K16" s="56">
        <v>134</v>
      </c>
      <c r="L16" s="56">
        <v>364</v>
      </c>
      <c r="M16" s="56">
        <v>421</v>
      </c>
      <c r="N16" s="56">
        <v>321</v>
      </c>
      <c r="O16" s="56">
        <v>261</v>
      </c>
      <c r="P16" s="56">
        <v>242</v>
      </c>
      <c r="Q16" s="163">
        <v>289</v>
      </c>
      <c r="R16" s="163">
        <v>364</v>
      </c>
      <c r="S16" s="245"/>
      <c r="T16" s="312"/>
      <c r="U16" s="13"/>
    </row>
    <row r="17" spans="1:21" ht="12.75" customHeight="1" hidden="1">
      <c r="A17" s="125"/>
      <c r="B17" s="15" t="s">
        <v>357</v>
      </c>
      <c r="C17" s="56">
        <v>287</v>
      </c>
      <c r="D17" s="56">
        <v>393</v>
      </c>
      <c r="E17" s="56">
        <v>190</v>
      </c>
      <c r="F17" s="56">
        <v>190</v>
      </c>
      <c r="G17" s="56">
        <v>253</v>
      </c>
      <c r="H17" s="56">
        <v>253</v>
      </c>
      <c r="I17" s="56">
        <v>253</v>
      </c>
      <c r="J17" s="56">
        <v>331</v>
      </c>
      <c r="K17" s="56">
        <v>109</v>
      </c>
      <c r="L17" s="56">
        <v>287</v>
      </c>
      <c r="M17" s="56">
        <v>331</v>
      </c>
      <c r="N17" s="56">
        <v>253</v>
      </c>
      <c r="O17" s="56">
        <v>207</v>
      </c>
      <c r="P17" s="56">
        <v>194</v>
      </c>
      <c r="Q17" s="163">
        <v>232</v>
      </c>
      <c r="R17" s="163">
        <v>292</v>
      </c>
      <c r="S17" s="245"/>
      <c r="T17" s="312"/>
      <c r="U17" s="13"/>
    </row>
    <row r="18" spans="1:21" ht="12.75" customHeight="1" hidden="1">
      <c r="A18" s="125"/>
      <c r="B18" s="15" t="s">
        <v>32</v>
      </c>
      <c r="C18" s="56">
        <v>228</v>
      </c>
      <c r="D18" s="56">
        <v>311</v>
      </c>
      <c r="E18" s="56">
        <v>152</v>
      </c>
      <c r="F18" s="56">
        <v>152</v>
      </c>
      <c r="G18" s="56">
        <v>202</v>
      </c>
      <c r="H18" s="56">
        <v>202</v>
      </c>
      <c r="I18" s="56">
        <v>202</v>
      </c>
      <c r="J18" s="56">
        <v>263</v>
      </c>
      <c r="K18" s="56">
        <v>89</v>
      </c>
      <c r="L18" s="56">
        <v>228</v>
      </c>
      <c r="M18" s="56">
        <v>263</v>
      </c>
      <c r="N18" s="56">
        <v>202</v>
      </c>
      <c r="O18" s="56">
        <v>166</v>
      </c>
      <c r="P18" s="56">
        <v>160</v>
      </c>
      <c r="Q18" s="163">
        <v>191</v>
      </c>
      <c r="R18" s="163">
        <v>240</v>
      </c>
      <c r="S18" s="245"/>
      <c r="T18" s="312"/>
      <c r="U18" s="13"/>
    </row>
    <row r="19" spans="1:21" ht="12.75" customHeight="1" hidden="1">
      <c r="A19" s="125"/>
      <c r="B19" s="177" t="s">
        <v>347</v>
      </c>
      <c r="C19" s="56">
        <v>276</v>
      </c>
      <c r="D19" s="56">
        <v>378</v>
      </c>
      <c r="E19" s="56">
        <v>183</v>
      </c>
      <c r="F19" s="56">
        <v>183</v>
      </c>
      <c r="G19" s="56">
        <v>244</v>
      </c>
      <c r="H19" s="56">
        <v>244</v>
      </c>
      <c r="I19" s="56">
        <v>244</v>
      </c>
      <c r="J19" s="56">
        <v>318</v>
      </c>
      <c r="K19" s="56">
        <v>105</v>
      </c>
      <c r="L19" s="56">
        <v>276</v>
      </c>
      <c r="M19" s="56">
        <v>318</v>
      </c>
      <c r="N19" s="56">
        <v>244</v>
      </c>
      <c r="O19" s="56">
        <v>199</v>
      </c>
      <c r="P19" s="56">
        <v>188</v>
      </c>
      <c r="Q19" s="163">
        <v>224</v>
      </c>
      <c r="R19" s="163">
        <v>282</v>
      </c>
      <c r="S19" s="245"/>
      <c r="T19" s="312"/>
      <c r="U19" s="13"/>
    </row>
    <row r="20" spans="1:21" ht="12.75" customHeight="1" hidden="1">
      <c r="A20" s="125"/>
      <c r="B20" s="15" t="s">
        <v>342</v>
      </c>
      <c r="C20" s="56">
        <v>265</v>
      </c>
      <c r="D20" s="56">
        <v>363</v>
      </c>
      <c r="E20" s="56">
        <v>176</v>
      </c>
      <c r="F20" s="56">
        <v>176</v>
      </c>
      <c r="G20" s="56">
        <v>234</v>
      </c>
      <c r="H20" s="56">
        <v>234</v>
      </c>
      <c r="I20" s="56">
        <v>234</v>
      </c>
      <c r="J20" s="56">
        <v>306</v>
      </c>
      <c r="K20" s="56">
        <v>102</v>
      </c>
      <c r="L20" s="56">
        <v>265</v>
      </c>
      <c r="M20" s="56">
        <v>306</v>
      </c>
      <c r="N20" s="56">
        <v>234</v>
      </c>
      <c r="O20" s="56">
        <v>191</v>
      </c>
      <c r="P20" s="56">
        <v>181</v>
      </c>
      <c r="Q20" s="163">
        <v>217</v>
      </c>
      <c r="R20" s="163">
        <v>272</v>
      </c>
      <c r="S20" s="245"/>
      <c r="T20" s="312"/>
      <c r="U20" s="13"/>
    </row>
    <row r="21" spans="1:21" ht="12.75" customHeight="1" hidden="1">
      <c r="A21" s="125"/>
      <c r="B21" s="15" t="s">
        <v>235</v>
      </c>
      <c r="C21" s="56">
        <v>220</v>
      </c>
      <c r="D21" s="56">
        <v>300</v>
      </c>
      <c r="E21" s="56">
        <v>147</v>
      </c>
      <c r="F21" s="56">
        <v>147</v>
      </c>
      <c r="G21" s="56">
        <v>195</v>
      </c>
      <c r="H21" s="56">
        <v>195</v>
      </c>
      <c r="I21" s="56">
        <v>195</v>
      </c>
      <c r="J21" s="56">
        <v>254</v>
      </c>
      <c r="K21" s="56">
        <v>87</v>
      </c>
      <c r="L21" s="56">
        <v>220</v>
      </c>
      <c r="M21" s="56">
        <v>254</v>
      </c>
      <c r="N21" s="56">
        <v>195</v>
      </c>
      <c r="O21" s="56">
        <v>160</v>
      </c>
      <c r="P21" s="56">
        <v>155</v>
      </c>
      <c r="Q21" s="163">
        <v>185</v>
      </c>
      <c r="R21" s="163">
        <v>233</v>
      </c>
      <c r="S21" s="245"/>
      <c r="T21" s="312"/>
      <c r="U21" s="13"/>
    </row>
    <row r="22" spans="1:21" ht="12.75" customHeight="1" hidden="1">
      <c r="A22" s="125"/>
      <c r="B22" s="15" t="s">
        <v>142</v>
      </c>
      <c r="C22" s="56">
        <v>768</v>
      </c>
      <c r="D22" s="56">
        <v>1067</v>
      </c>
      <c r="E22" s="56">
        <v>496</v>
      </c>
      <c r="F22" s="56">
        <v>496</v>
      </c>
      <c r="G22" s="56">
        <v>674</v>
      </c>
      <c r="H22" s="56">
        <v>674</v>
      </c>
      <c r="I22" s="56">
        <v>674</v>
      </c>
      <c r="J22" s="56">
        <v>892</v>
      </c>
      <c r="K22" s="56">
        <v>269</v>
      </c>
      <c r="L22" s="56">
        <v>768</v>
      </c>
      <c r="M22" s="56">
        <v>892</v>
      </c>
      <c r="N22" s="56">
        <v>674</v>
      </c>
      <c r="O22" s="56">
        <v>543</v>
      </c>
      <c r="P22" s="56">
        <v>486</v>
      </c>
      <c r="Q22" s="163">
        <v>581</v>
      </c>
      <c r="R22" s="163">
        <v>731</v>
      </c>
      <c r="S22" s="245"/>
      <c r="T22" s="312"/>
      <c r="U22" s="13"/>
    </row>
    <row r="23" spans="1:21" ht="12.75" customHeight="1" hidden="1">
      <c r="A23" s="125"/>
      <c r="B23" s="15" t="s">
        <v>38</v>
      </c>
      <c r="C23" s="56">
        <v>768</v>
      </c>
      <c r="D23" s="56">
        <v>1067</v>
      </c>
      <c r="E23" s="56">
        <v>496</v>
      </c>
      <c r="F23" s="56">
        <v>496</v>
      </c>
      <c r="G23" s="56">
        <v>674</v>
      </c>
      <c r="H23" s="56">
        <v>674</v>
      </c>
      <c r="I23" s="56">
        <v>674</v>
      </c>
      <c r="J23" s="56">
        <v>892</v>
      </c>
      <c r="K23" s="56">
        <v>269</v>
      </c>
      <c r="L23" s="56">
        <v>768</v>
      </c>
      <c r="M23" s="56">
        <v>892</v>
      </c>
      <c r="N23" s="56">
        <v>674</v>
      </c>
      <c r="O23" s="56">
        <v>543</v>
      </c>
      <c r="P23" s="56">
        <v>486</v>
      </c>
      <c r="Q23" s="163">
        <v>581</v>
      </c>
      <c r="R23" s="163">
        <v>731</v>
      </c>
      <c r="S23" s="245"/>
      <c r="T23" s="312"/>
      <c r="U23" s="13"/>
    </row>
    <row r="24" spans="1:21" ht="12.75" customHeight="1" hidden="1">
      <c r="A24" s="125"/>
      <c r="B24" s="15" t="s">
        <v>130</v>
      </c>
      <c r="C24" s="56">
        <v>364</v>
      </c>
      <c r="D24" s="56">
        <v>501</v>
      </c>
      <c r="E24" s="56">
        <v>239</v>
      </c>
      <c r="F24" s="56">
        <v>239</v>
      </c>
      <c r="G24" s="56">
        <v>321</v>
      </c>
      <c r="H24" s="56">
        <v>321</v>
      </c>
      <c r="I24" s="56">
        <v>321</v>
      </c>
      <c r="J24" s="56">
        <v>421</v>
      </c>
      <c r="K24" s="56">
        <v>134</v>
      </c>
      <c r="L24" s="56">
        <v>364</v>
      </c>
      <c r="M24" s="56">
        <v>421</v>
      </c>
      <c r="N24" s="56">
        <v>321</v>
      </c>
      <c r="O24" s="56">
        <v>261</v>
      </c>
      <c r="P24" s="56">
        <v>242</v>
      </c>
      <c r="Q24" s="163">
        <v>289</v>
      </c>
      <c r="R24" s="163">
        <v>364</v>
      </c>
      <c r="S24" s="245"/>
      <c r="T24" s="312"/>
      <c r="U24" s="13"/>
    </row>
    <row r="25" spans="1:21" ht="12.75" customHeight="1" hidden="1">
      <c r="A25" s="125"/>
      <c r="B25" s="15" t="s">
        <v>355</v>
      </c>
      <c r="C25" s="56">
        <v>346</v>
      </c>
      <c r="D25" s="56">
        <v>477</v>
      </c>
      <c r="E25" s="56">
        <v>228</v>
      </c>
      <c r="F25" s="56">
        <v>228</v>
      </c>
      <c r="G25" s="56">
        <v>305</v>
      </c>
      <c r="H25" s="56">
        <v>305</v>
      </c>
      <c r="I25" s="56">
        <v>305</v>
      </c>
      <c r="J25" s="56">
        <v>401</v>
      </c>
      <c r="K25" s="56">
        <v>129</v>
      </c>
      <c r="L25" s="56">
        <v>346</v>
      </c>
      <c r="M25" s="56">
        <v>401</v>
      </c>
      <c r="N25" s="56">
        <v>305</v>
      </c>
      <c r="O25" s="56">
        <v>248</v>
      </c>
      <c r="P25" s="56">
        <v>230</v>
      </c>
      <c r="Q25" s="163">
        <v>276</v>
      </c>
      <c r="R25" s="163">
        <v>347</v>
      </c>
      <c r="S25" s="245"/>
      <c r="T25" s="312"/>
      <c r="U25" s="13"/>
    </row>
    <row r="26" spans="1:21" ht="12.75" customHeight="1" hidden="1">
      <c r="A26" s="125"/>
      <c r="B26" s="15" t="s">
        <v>41</v>
      </c>
      <c r="C26" s="56">
        <v>328</v>
      </c>
      <c r="D26" s="56">
        <v>452</v>
      </c>
      <c r="E26" s="56">
        <v>216</v>
      </c>
      <c r="F26" s="56">
        <v>216</v>
      </c>
      <c r="G26" s="56">
        <v>290</v>
      </c>
      <c r="H26" s="56">
        <v>290</v>
      </c>
      <c r="I26" s="56">
        <v>290</v>
      </c>
      <c r="J26" s="56">
        <v>380</v>
      </c>
      <c r="K26" s="56">
        <v>123</v>
      </c>
      <c r="L26" s="56">
        <v>328</v>
      </c>
      <c r="M26" s="56">
        <v>380</v>
      </c>
      <c r="N26" s="56">
        <v>290</v>
      </c>
      <c r="O26" s="56">
        <v>236</v>
      </c>
      <c r="P26" s="56">
        <v>221</v>
      </c>
      <c r="Q26" s="163">
        <v>264</v>
      </c>
      <c r="R26" s="163">
        <v>332</v>
      </c>
      <c r="S26" s="245"/>
      <c r="T26" s="312"/>
      <c r="U26" s="13"/>
    </row>
    <row r="27" spans="1:21" ht="12.75" customHeight="1" hidden="1">
      <c r="A27" s="125"/>
      <c r="B27" s="15" t="s">
        <v>354</v>
      </c>
      <c r="C27" s="56">
        <v>295</v>
      </c>
      <c r="D27" s="56">
        <v>405</v>
      </c>
      <c r="E27" s="56">
        <v>195</v>
      </c>
      <c r="F27" s="56">
        <v>195</v>
      </c>
      <c r="G27" s="56">
        <v>261</v>
      </c>
      <c r="H27" s="56">
        <v>261</v>
      </c>
      <c r="I27" s="56">
        <v>261</v>
      </c>
      <c r="J27" s="56">
        <v>341</v>
      </c>
      <c r="K27" s="56">
        <v>112</v>
      </c>
      <c r="L27" s="56">
        <v>295</v>
      </c>
      <c r="M27" s="56">
        <v>341</v>
      </c>
      <c r="N27" s="56">
        <v>261</v>
      </c>
      <c r="O27" s="56">
        <v>212</v>
      </c>
      <c r="P27" s="56">
        <v>199</v>
      </c>
      <c r="Q27" s="163">
        <v>238</v>
      </c>
      <c r="R27" s="163">
        <v>300</v>
      </c>
      <c r="S27" s="245"/>
      <c r="T27" s="312"/>
      <c r="U27" s="13"/>
    </row>
    <row r="28" spans="1:21" ht="12.75" customHeight="1" hidden="1">
      <c r="A28" s="125"/>
      <c r="B28" s="15" t="s">
        <v>44</v>
      </c>
      <c r="C28" s="56">
        <v>269</v>
      </c>
      <c r="D28" s="56">
        <v>368</v>
      </c>
      <c r="E28" s="56">
        <v>178</v>
      </c>
      <c r="F28" s="56">
        <v>178</v>
      </c>
      <c r="G28" s="56">
        <v>238</v>
      </c>
      <c r="H28" s="56">
        <v>238</v>
      </c>
      <c r="I28" s="56">
        <v>238</v>
      </c>
      <c r="J28" s="56">
        <v>310</v>
      </c>
      <c r="K28" s="56">
        <v>103</v>
      </c>
      <c r="L28" s="56">
        <v>269</v>
      </c>
      <c r="M28" s="56">
        <v>310</v>
      </c>
      <c r="N28" s="56">
        <v>238</v>
      </c>
      <c r="O28" s="56">
        <v>194</v>
      </c>
      <c r="P28" s="56">
        <v>184</v>
      </c>
      <c r="Q28" s="163">
        <v>221</v>
      </c>
      <c r="R28" s="163">
        <v>277</v>
      </c>
      <c r="S28" s="245"/>
      <c r="T28" s="312"/>
      <c r="U28" s="13"/>
    </row>
    <row r="29" spans="1:21" ht="12.75" customHeight="1" hidden="1">
      <c r="A29" s="125"/>
      <c r="B29" s="15" t="s">
        <v>358</v>
      </c>
      <c r="C29" s="56">
        <v>264</v>
      </c>
      <c r="D29" s="56">
        <v>361</v>
      </c>
      <c r="E29" s="56">
        <v>175</v>
      </c>
      <c r="F29" s="56">
        <v>175</v>
      </c>
      <c r="G29" s="56">
        <v>233</v>
      </c>
      <c r="H29" s="56">
        <v>233</v>
      </c>
      <c r="I29" s="56">
        <v>233</v>
      </c>
      <c r="J29" s="56">
        <v>304</v>
      </c>
      <c r="K29" s="56">
        <v>101</v>
      </c>
      <c r="L29" s="56">
        <v>264</v>
      </c>
      <c r="M29" s="56">
        <v>304</v>
      </c>
      <c r="N29" s="56">
        <v>233</v>
      </c>
      <c r="O29" s="56">
        <v>191</v>
      </c>
      <c r="P29" s="56">
        <v>181</v>
      </c>
      <c r="Q29" s="163">
        <v>217</v>
      </c>
      <c r="R29" s="163">
        <v>272</v>
      </c>
      <c r="S29" s="245"/>
      <c r="T29" s="312"/>
      <c r="U29" s="13"/>
    </row>
    <row r="30" spans="1:21" ht="12.75" customHeight="1" hidden="1">
      <c r="A30" s="125"/>
      <c r="B30" s="15" t="s">
        <v>141</v>
      </c>
      <c r="C30" s="56">
        <v>257</v>
      </c>
      <c r="D30" s="56">
        <v>352</v>
      </c>
      <c r="E30" s="56">
        <v>171</v>
      </c>
      <c r="F30" s="56">
        <v>171</v>
      </c>
      <c r="G30" s="56">
        <v>228</v>
      </c>
      <c r="H30" s="56">
        <v>228</v>
      </c>
      <c r="I30" s="56">
        <v>228</v>
      </c>
      <c r="J30" s="56">
        <v>297</v>
      </c>
      <c r="K30" s="56">
        <v>99</v>
      </c>
      <c r="L30" s="56">
        <v>257</v>
      </c>
      <c r="M30" s="56">
        <v>297</v>
      </c>
      <c r="N30" s="56">
        <v>228</v>
      </c>
      <c r="O30" s="56">
        <v>186</v>
      </c>
      <c r="P30" s="56">
        <v>176</v>
      </c>
      <c r="Q30" s="163">
        <v>211</v>
      </c>
      <c r="R30" s="163">
        <v>265</v>
      </c>
      <c r="S30" s="245"/>
      <c r="T30" s="312"/>
      <c r="U30" s="13"/>
    </row>
    <row r="31" spans="1:21" ht="12.75" customHeight="1" hidden="1">
      <c r="A31" s="125"/>
      <c r="B31" s="15" t="s">
        <v>48</v>
      </c>
      <c r="C31" s="56">
        <v>221</v>
      </c>
      <c r="D31" s="56">
        <v>301</v>
      </c>
      <c r="E31" s="56">
        <v>148</v>
      </c>
      <c r="F31" s="56">
        <v>148</v>
      </c>
      <c r="G31" s="56">
        <v>196</v>
      </c>
      <c r="H31" s="56">
        <v>196</v>
      </c>
      <c r="I31" s="56">
        <v>196</v>
      </c>
      <c r="J31" s="56">
        <v>254</v>
      </c>
      <c r="K31" s="56">
        <v>87</v>
      </c>
      <c r="L31" s="56">
        <v>221</v>
      </c>
      <c r="M31" s="56">
        <v>254</v>
      </c>
      <c r="N31" s="56">
        <v>196</v>
      </c>
      <c r="O31" s="56">
        <v>160</v>
      </c>
      <c r="P31" s="56">
        <v>155</v>
      </c>
      <c r="Q31" s="163">
        <v>185</v>
      </c>
      <c r="R31" s="163">
        <v>233</v>
      </c>
      <c r="S31" s="245"/>
      <c r="T31" s="312"/>
      <c r="U31" s="13"/>
    </row>
    <row r="32" spans="1:21" ht="12.75" customHeight="1" hidden="1">
      <c r="A32" s="125"/>
      <c r="B32" s="15" t="s">
        <v>50</v>
      </c>
      <c r="C32" s="56" t="s">
        <v>28</v>
      </c>
      <c r="D32" s="56" t="s">
        <v>28</v>
      </c>
      <c r="E32" s="56" t="s">
        <v>28</v>
      </c>
      <c r="F32" s="56" t="s">
        <v>28</v>
      </c>
      <c r="G32" s="56" t="s">
        <v>28</v>
      </c>
      <c r="H32" s="56" t="s">
        <v>28</v>
      </c>
      <c r="I32" s="56" t="s">
        <v>28</v>
      </c>
      <c r="J32" s="56" t="s">
        <v>28</v>
      </c>
      <c r="K32" s="56" t="s">
        <v>28</v>
      </c>
      <c r="L32" s="56" t="s">
        <v>28</v>
      </c>
      <c r="M32" s="56" t="s">
        <v>28</v>
      </c>
      <c r="N32" s="56" t="s">
        <v>28</v>
      </c>
      <c r="O32" s="56" t="s">
        <v>28</v>
      </c>
      <c r="P32" s="56" t="s">
        <v>28</v>
      </c>
      <c r="Q32" s="163" t="s">
        <v>28</v>
      </c>
      <c r="R32" s="163" t="s">
        <v>28</v>
      </c>
      <c r="S32" s="245"/>
      <c r="T32" s="312"/>
      <c r="U32" s="13"/>
    </row>
    <row r="33" spans="1:21" ht="12.75" customHeight="1" hidden="1">
      <c r="A33" s="125"/>
      <c r="B33" s="15" t="s">
        <v>52</v>
      </c>
      <c r="C33" s="56">
        <v>296</v>
      </c>
      <c r="D33" s="56" t="s">
        <v>28</v>
      </c>
      <c r="E33" s="56">
        <v>196</v>
      </c>
      <c r="F33" s="56">
        <v>196</v>
      </c>
      <c r="G33" s="56">
        <v>261</v>
      </c>
      <c r="H33" s="56">
        <v>261</v>
      </c>
      <c r="I33" s="56">
        <v>261</v>
      </c>
      <c r="J33" s="56">
        <v>342</v>
      </c>
      <c r="K33" s="56">
        <v>112</v>
      </c>
      <c r="L33" s="56">
        <v>296</v>
      </c>
      <c r="M33" s="56">
        <v>342</v>
      </c>
      <c r="N33" s="56">
        <v>261</v>
      </c>
      <c r="O33" s="56">
        <v>213</v>
      </c>
      <c r="P33" s="56">
        <v>201</v>
      </c>
      <c r="Q33" s="163">
        <v>240</v>
      </c>
      <c r="R33" s="163">
        <v>302</v>
      </c>
      <c r="S33" s="245"/>
      <c r="T33" s="312"/>
      <c r="U33" s="13"/>
    </row>
    <row r="34" spans="1:21" ht="12.75" customHeight="1" hidden="1">
      <c r="A34" s="125"/>
      <c r="B34" s="15" t="s">
        <v>54</v>
      </c>
      <c r="C34" s="56">
        <v>221</v>
      </c>
      <c r="D34" s="56">
        <v>275</v>
      </c>
      <c r="E34" s="56">
        <v>136</v>
      </c>
      <c r="F34" s="56">
        <v>136</v>
      </c>
      <c r="G34" s="56">
        <v>179</v>
      </c>
      <c r="H34" s="56">
        <v>179</v>
      </c>
      <c r="I34" s="56">
        <v>179</v>
      </c>
      <c r="J34" s="56">
        <v>232</v>
      </c>
      <c r="K34" s="56">
        <v>81</v>
      </c>
      <c r="L34" s="56">
        <v>202</v>
      </c>
      <c r="M34" s="56">
        <v>232</v>
      </c>
      <c r="N34" s="56">
        <v>179</v>
      </c>
      <c r="O34" s="56">
        <v>147</v>
      </c>
      <c r="P34" s="56">
        <v>143</v>
      </c>
      <c r="Q34" s="163">
        <v>171</v>
      </c>
      <c r="R34" s="163">
        <v>215</v>
      </c>
      <c r="S34" s="245"/>
      <c r="T34" s="312"/>
      <c r="U34" s="13"/>
    </row>
    <row r="35" spans="1:21" ht="12.75" customHeight="1" hidden="1">
      <c r="A35" s="125"/>
      <c r="B35" s="15" t="s">
        <v>57</v>
      </c>
      <c r="C35" s="56">
        <v>186</v>
      </c>
      <c r="D35" s="56">
        <v>252</v>
      </c>
      <c r="E35" s="56">
        <v>125</v>
      </c>
      <c r="F35" s="56">
        <v>125</v>
      </c>
      <c r="G35" s="56">
        <v>165</v>
      </c>
      <c r="H35" s="56">
        <v>165</v>
      </c>
      <c r="I35" s="56">
        <v>165</v>
      </c>
      <c r="J35" s="56">
        <v>213</v>
      </c>
      <c r="K35" s="56">
        <v>75</v>
      </c>
      <c r="L35" s="56">
        <v>186</v>
      </c>
      <c r="M35" s="56">
        <v>213</v>
      </c>
      <c r="N35" s="56">
        <v>165</v>
      </c>
      <c r="O35" s="56">
        <v>136</v>
      </c>
      <c r="P35" s="56">
        <v>133</v>
      </c>
      <c r="Q35" s="163">
        <v>160</v>
      </c>
      <c r="R35" s="163">
        <v>201</v>
      </c>
      <c r="S35" s="245"/>
      <c r="T35" s="312"/>
      <c r="U35" s="13"/>
    </row>
    <row r="36" spans="1:21" ht="13.5" customHeight="1" hidden="1" thickBot="1">
      <c r="A36" s="127"/>
      <c r="B36" s="55" t="s">
        <v>59</v>
      </c>
      <c r="C36" s="58">
        <v>213</v>
      </c>
      <c r="D36" s="58">
        <v>291</v>
      </c>
      <c r="E36" s="58">
        <v>143</v>
      </c>
      <c r="F36" s="58">
        <v>143</v>
      </c>
      <c r="G36" s="58">
        <v>189</v>
      </c>
      <c r="H36" s="58">
        <v>189</v>
      </c>
      <c r="I36" s="58">
        <v>189</v>
      </c>
      <c r="J36" s="58">
        <v>245</v>
      </c>
      <c r="K36" s="58">
        <v>84</v>
      </c>
      <c r="L36" s="58">
        <v>213</v>
      </c>
      <c r="M36" s="58">
        <v>245</v>
      </c>
      <c r="N36" s="58">
        <v>189</v>
      </c>
      <c r="O36" s="58">
        <v>155</v>
      </c>
      <c r="P36" s="58">
        <v>150</v>
      </c>
      <c r="Q36" s="170">
        <v>179</v>
      </c>
      <c r="R36" s="170">
        <v>225</v>
      </c>
      <c r="S36" s="246"/>
      <c r="T36" s="313"/>
      <c r="U36" s="13"/>
    </row>
    <row r="37" spans="1:21" ht="12.75" customHeight="1">
      <c r="A37" s="275" t="s">
        <v>22</v>
      </c>
      <c r="B37" s="54" t="s">
        <v>23</v>
      </c>
      <c r="C37" s="174">
        <f aca="true" t="shared" si="0" ref="C37:T37">ROUND(C9*(1-$B$361),2)</f>
        <v>459</v>
      </c>
      <c r="D37" s="174">
        <f t="shared" si="0"/>
        <v>634</v>
      </c>
      <c r="E37" s="174">
        <f t="shared" si="0"/>
        <v>299</v>
      </c>
      <c r="F37" s="174">
        <f t="shared" si="0"/>
        <v>299</v>
      </c>
      <c r="G37" s="174">
        <f t="shared" si="0"/>
        <v>404</v>
      </c>
      <c r="H37" s="174">
        <f t="shared" si="0"/>
        <v>404</v>
      </c>
      <c r="I37" s="174">
        <f t="shared" si="0"/>
        <v>404</v>
      </c>
      <c r="J37" s="174">
        <f t="shared" si="0"/>
        <v>532</v>
      </c>
      <c r="K37" s="174">
        <f t="shared" si="0"/>
        <v>166</v>
      </c>
      <c r="L37" s="174">
        <f t="shared" si="0"/>
        <v>459</v>
      </c>
      <c r="M37" s="174">
        <f t="shared" si="0"/>
        <v>532</v>
      </c>
      <c r="N37" s="174">
        <f t="shared" si="0"/>
        <v>404</v>
      </c>
      <c r="O37" s="174">
        <f t="shared" si="0"/>
        <v>327</v>
      </c>
      <c r="P37" s="174">
        <f t="shared" si="0"/>
        <v>300</v>
      </c>
      <c r="Q37" s="174">
        <f t="shared" si="0"/>
        <v>358</v>
      </c>
      <c r="R37" s="174">
        <f t="shared" si="0"/>
        <v>451</v>
      </c>
      <c r="S37" s="242">
        <f t="shared" si="0"/>
        <v>659</v>
      </c>
      <c r="T37" s="306">
        <f t="shared" si="0"/>
        <v>80</v>
      </c>
      <c r="U37" s="13"/>
    </row>
    <row r="38" spans="1:21" ht="12.75" customHeight="1">
      <c r="A38" s="276"/>
      <c r="B38" s="15" t="s">
        <v>24</v>
      </c>
      <c r="C38" s="12">
        <f aca="true" t="shared" si="1" ref="C38:R38">ROUND(C10*(1-$B$361),2)</f>
        <v>390</v>
      </c>
      <c r="D38" s="12">
        <f t="shared" si="1"/>
        <v>537</v>
      </c>
      <c r="E38" s="12">
        <f t="shared" si="1"/>
        <v>255</v>
      </c>
      <c r="F38" s="12">
        <f t="shared" si="1"/>
        <v>255</v>
      </c>
      <c r="G38" s="12">
        <f t="shared" si="1"/>
        <v>343</v>
      </c>
      <c r="H38" s="12">
        <f t="shared" si="1"/>
        <v>343</v>
      </c>
      <c r="I38" s="12">
        <f t="shared" si="1"/>
        <v>343</v>
      </c>
      <c r="J38" s="12">
        <f t="shared" si="1"/>
        <v>451</v>
      </c>
      <c r="K38" s="12">
        <f t="shared" si="1"/>
        <v>143</v>
      </c>
      <c r="L38" s="12">
        <f t="shared" si="1"/>
        <v>390</v>
      </c>
      <c r="M38" s="12">
        <f t="shared" si="1"/>
        <v>451</v>
      </c>
      <c r="N38" s="12">
        <f t="shared" si="1"/>
        <v>343</v>
      </c>
      <c r="O38" s="12">
        <f t="shared" si="1"/>
        <v>279</v>
      </c>
      <c r="P38" s="12">
        <f t="shared" si="1"/>
        <v>257</v>
      </c>
      <c r="Q38" s="12">
        <f t="shared" si="1"/>
        <v>307</v>
      </c>
      <c r="R38" s="12">
        <f t="shared" si="1"/>
        <v>386</v>
      </c>
      <c r="S38" s="243"/>
      <c r="T38" s="307"/>
      <c r="U38" s="13"/>
    </row>
    <row r="39" spans="1:21" ht="12.75" customHeight="1">
      <c r="A39" s="276"/>
      <c r="B39" s="15" t="s">
        <v>26</v>
      </c>
      <c r="C39" s="12">
        <f aca="true" t="shared" si="2" ref="C39:R39">ROUND(C11*(1-$B$361),2)</f>
        <v>331</v>
      </c>
      <c r="D39" s="12">
        <f t="shared" si="2"/>
        <v>455</v>
      </c>
      <c r="E39" s="12">
        <f t="shared" si="2"/>
        <v>218</v>
      </c>
      <c r="F39" s="12">
        <f t="shared" si="2"/>
        <v>218</v>
      </c>
      <c r="G39" s="12">
        <f t="shared" si="2"/>
        <v>292</v>
      </c>
      <c r="H39" s="12">
        <f t="shared" si="2"/>
        <v>292</v>
      </c>
      <c r="I39" s="12">
        <f t="shared" si="2"/>
        <v>292</v>
      </c>
      <c r="J39" s="12">
        <f t="shared" si="2"/>
        <v>382</v>
      </c>
      <c r="K39" s="12">
        <f t="shared" si="2"/>
        <v>123</v>
      </c>
      <c r="L39" s="12">
        <f t="shared" si="2"/>
        <v>331</v>
      </c>
      <c r="M39" s="12">
        <f t="shared" si="2"/>
        <v>382</v>
      </c>
      <c r="N39" s="12">
        <f t="shared" si="2"/>
        <v>292</v>
      </c>
      <c r="O39" s="12">
        <f t="shared" si="2"/>
        <v>237</v>
      </c>
      <c r="P39" s="12">
        <f t="shared" si="2"/>
        <v>221</v>
      </c>
      <c r="Q39" s="12">
        <f t="shared" si="2"/>
        <v>264</v>
      </c>
      <c r="R39" s="12">
        <f t="shared" si="2"/>
        <v>332</v>
      </c>
      <c r="S39" s="243"/>
      <c r="T39" s="307"/>
      <c r="U39" s="13"/>
    </row>
    <row r="40" spans="1:21" ht="12.75" customHeight="1">
      <c r="A40" s="276"/>
      <c r="B40" s="15" t="s">
        <v>364</v>
      </c>
      <c r="C40" s="12">
        <f aca="true" t="shared" si="3" ref="C40:R40">ROUND(C12*(1-$B$361),2)</f>
        <v>278</v>
      </c>
      <c r="D40" s="12">
        <f t="shared" si="3"/>
        <v>381</v>
      </c>
      <c r="E40" s="12">
        <f t="shared" si="3"/>
        <v>184</v>
      </c>
      <c r="F40" s="12">
        <f t="shared" si="3"/>
        <v>184</v>
      </c>
      <c r="G40" s="12">
        <f t="shared" si="3"/>
        <v>245</v>
      </c>
      <c r="H40" s="12">
        <f t="shared" si="3"/>
        <v>245</v>
      </c>
      <c r="I40" s="12">
        <f t="shared" si="3"/>
        <v>245</v>
      </c>
      <c r="J40" s="12">
        <f t="shared" si="3"/>
        <v>321</v>
      </c>
      <c r="K40" s="12">
        <f t="shared" si="3"/>
        <v>106</v>
      </c>
      <c r="L40" s="12">
        <f t="shared" si="3"/>
        <v>278</v>
      </c>
      <c r="M40" s="12">
        <f t="shared" si="3"/>
        <v>321</v>
      </c>
      <c r="N40" s="12">
        <f t="shared" si="3"/>
        <v>245</v>
      </c>
      <c r="O40" s="12">
        <f t="shared" si="3"/>
        <v>200</v>
      </c>
      <c r="P40" s="12">
        <f t="shared" si="3"/>
        <v>189</v>
      </c>
      <c r="Q40" s="12">
        <f t="shared" si="3"/>
        <v>226</v>
      </c>
      <c r="R40" s="12">
        <f t="shared" si="3"/>
        <v>285</v>
      </c>
      <c r="S40" s="243"/>
      <c r="T40" s="307"/>
      <c r="U40" s="13"/>
    </row>
    <row r="41" spans="1:21" ht="12.75" customHeight="1">
      <c r="A41" s="276"/>
      <c r="B41" s="15" t="s">
        <v>365</v>
      </c>
      <c r="C41" s="12">
        <f aca="true" t="shared" si="4" ref="C41:R41">ROUND(C13*(1-$B$361),2)</f>
        <v>263</v>
      </c>
      <c r="D41" s="12">
        <f t="shared" si="4"/>
        <v>361</v>
      </c>
      <c r="E41" s="12">
        <f t="shared" si="4"/>
        <v>175</v>
      </c>
      <c r="F41" s="12">
        <f t="shared" si="4"/>
        <v>175</v>
      </c>
      <c r="G41" s="12">
        <f t="shared" si="4"/>
        <v>233</v>
      </c>
      <c r="H41" s="12">
        <f t="shared" si="4"/>
        <v>233</v>
      </c>
      <c r="I41" s="12">
        <f t="shared" si="4"/>
        <v>233</v>
      </c>
      <c r="J41" s="12">
        <f t="shared" si="4"/>
        <v>304</v>
      </c>
      <c r="K41" s="12">
        <f t="shared" si="4"/>
        <v>101</v>
      </c>
      <c r="L41" s="12">
        <f t="shared" si="4"/>
        <v>263</v>
      </c>
      <c r="M41" s="12">
        <f t="shared" si="4"/>
        <v>304</v>
      </c>
      <c r="N41" s="12">
        <f t="shared" si="4"/>
        <v>233</v>
      </c>
      <c r="O41" s="12">
        <f t="shared" si="4"/>
        <v>190</v>
      </c>
      <c r="P41" s="12">
        <f t="shared" si="4"/>
        <v>181</v>
      </c>
      <c r="Q41" s="12">
        <f t="shared" si="4"/>
        <v>217</v>
      </c>
      <c r="R41" s="12">
        <f t="shared" si="4"/>
        <v>272</v>
      </c>
      <c r="S41" s="243"/>
      <c r="T41" s="307"/>
      <c r="U41" s="13"/>
    </row>
    <row r="42" spans="1:21" ht="12.75" customHeight="1">
      <c r="A42" s="276"/>
      <c r="B42" s="15" t="s">
        <v>356</v>
      </c>
      <c r="C42" s="12">
        <f aca="true" t="shared" si="5" ref="C42:R42">ROUND(C16*(1-$B$361),2)</f>
        <v>364</v>
      </c>
      <c r="D42" s="12">
        <f t="shared" si="5"/>
        <v>501</v>
      </c>
      <c r="E42" s="12">
        <f t="shared" si="5"/>
        <v>239</v>
      </c>
      <c r="F42" s="12">
        <f t="shared" si="5"/>
        <v>239</v>
      </c>
      <c r="G42" s="12">
        <f t="shared" si="5"/>
        <v>321</v>
      </c>
      <c r="H42" s="12">
        <f t="shared" si="5"/>
        <v>321</v>
      </c>
      <c r="I42" s="12">
        <f t="shared" si="5"/>
        <v>321</v>
      </c>
      <c r="J42" s="12">
        <f t="shared" si="5"/>
        <v>421</v>
      </c>
      <c r="K42" s="12">
        <f t="shared" si="5"/>
        <v>134</v>
      </c>
      <c r="L42" s="12">
        <f t="shared" si="5"/>
        <v>364</v>
      </c>
      <c r="M42" s="12">
        <f t="shared" si="5"/>
        <v>421</v>
      </c>
      <c r="N42" s="12">
        <f t="shared" si="5"/>
        <v>321</v>
      </c>
      <c r="O42" s="12">
        <f t="shared" si="5"/>
        <v>261</v>
      </c>
      <c r="P42" s="12">
        <f t="shared" si="5"/>
        <v>242</v>
      </c>
      <c r="Q42" s="12">
        <f t="shared" si="5"/>
        <v>289</v>
      </c>
      <c r="R42" s="12">
        <f t="shared" si="5"/>
        <v>364</v>
      </c>
      <c r="S42" s="243"/>
      <c r="T42" s="307"/>
      <c r="U42" s="13"/>
    </row>
    <row r="43" spans="1:21" ht="12.75" customHeight="1">
      <c r="A43" s="276"/>
      <c r="B43" s="15" t="s">
        <v>357</v>
      </c>
      <c r="C43" s="12">
        <f aca="true" t="shared" si="6" ref="C43:R43">ROUND(C17*(1-$B$361),2)</f>
        <v>287</v>
      </c>
      <c r="D43" s="12">
        <f t="shared" si="6"/>
        <v>393</v>
      </c>
      <c r="E43" s="12">
        <f t="shared" si="6"/>
        <v>190</v>
      </c>
      <c r="F43" s="12">
        <f t="shared" si="6"/>
        <v>190</v>
      </c>
      <c r="G43" s="12">
        <f t="shared" si="6"/>
        <v>253</v>
      </c>
      <c r="H43" s="12">
        <f t="shared" si="6"/>
        <v>253</v>
      </c>
      <c r="I43" s="12">
        <f t="shared" si="6"/>
        <v>253</v>
      </c>
      <c r="J43" s="12">
        <f t="shared" si="6"/>
        <v>331</v>
      </c>
      <c r="K43" s="12">
        <f t="shared" si="6"/>
        <v>109</v>
      </c>
      <c r="L43" s="12">
        <f t="shared" si="6"/>
        <v>287</v>
      </c>
      <c r="M43" s="12">
        <f t="shared" si="6"/>
        <v>331</v>
      </c>
      <c r="N43" s="12">
        <f t="shared" si="6"/>
        <v>253</v>
      </c>
      <c r="O43" s="12">
        <f t="shared" si="6"/>
        <v>207</v>
      </c>
      <c r="P43" s="12">
        <f t="shared" si="6"/>
        <v>194</v>
      </c>
      <c r="Q43" s="12">
        <f t="shared" si="6"/>
        <v>232</v>
      </c>
      <c r="R43" s="12">
        <f t="shared" si="6"/>
        <v>292</v>
      </c>
      <c r="S43" s="243"/>
      <c r="T43" s="307"/>
      <c r="U43" s="13"/>
    </row>
    <row r="44" spans="1:21" ht="12.75" customHeight="1">
      <c r="A44" s="276"/>
      <c r="B44" s="177" t="s">
        <v>347</v>
      </c>
      <c r="C44" s="12">
        <f aca="true" t="shared" si="7" ref="C44:R44">ROUND(C19*(1-$B$361),2)</f>
        <v>276</v>
      </c>
      <c r="D44" s="12">
        <f t="shared" si="7"/>
        <v>378</v>
      </c>
      <c r="E44" s="12">
        <f t="shared" si="7"/>
        <v>183</v>
      </c>
      <c r="F44" s="12">
        <f t="shared" si="7"/>
        <v>183</v>
      </c>
      <c r="G44" s="12">
        <f t="shared" si="7"/>
        <v>244</v>
      </c>
      <c r="H44" s="12">
        <f t="shared" si="7"/>
        <v>244</v>
      </c>
      <c r="I44" s="12">
        <f t="shared" si="7"/>
        <v>244</v>
      </c>
      <c r="J44" s="12">
        <f t="shared" si="7"/>
        <v>318</v>
      </c>
      <c r="K44" s="12">
        <f t="shared" si="7"/>
        <v>105</v>
      </c>
      <c r="L44" s="12">
        <f t="shared" si="7"/>
        <v>276</v>
      </c>
      <c r="M44" s="12">
        <f t="shared" si="7"/>
        <v>318</v>
      </c>
      <c r="N44" s="12">
        <f t="shared" si="7"/>
        <v>244</v>
      </c>
      <c r="O44" s="12">
        <f t="shared" si="7"/>
        <v>199</v>
      </c>
      <c r="P44" s="12">
        <f t="shared" si="7"/>
        <v>188</v>
      </c>
      <c r="Q44" s="12">
        <f t="shared" si="7"/>
        <v>224</v>
      </c>
      <c r="R44" s="12">
        <f t="shared" si="7"/>
        <v>282</v>
      </c>
      <c r="S44" s="243"/>
      <c r="T44" s="307"/>
      <c r="U44" s="13"/>
    </row>
    <row r="45" spans="1:21" ht="12.75" customHeight="1">
      <c r="A45" s="276"/>
      <c r="B45" s="15" t="s">
        <v>342</v>
      </c>
      <c r="C45" s="12">
        <f aca="true" t="shared" si="8" ref="C45:R45">ROUND(C20*(1-$B$361),2)</f>
        <v>265</v>
      </c>
      <c r="D45" s="12">
        <f t="shared" si="8"/>
        <v>363</v>
      </c>
      <c r="E45" s="12">
        <f t="shared" si="8"/>
        <v>176</v>
      </c>
      <c r="F45" s="12">
        <f t="shared" si="8"/>
        <v>176</v>
      </c>
      <c r="G45" s="12">
        <f t="shared" si="8"/>
        <v>234</v>
      </c>
      <c r="H45" s="12">
        <f t="shared" si="8"/>
        <v>234</v>
      </c>
      <c r="I45" s="12">
        <f t="shared" si="8"/>
        <v>234</v>
      </c>
      <c r="J45" s="12">
        <f t="shared" si="8"/>
        <v>306</v>
      </c>
      <c r="K45" s="12">
        <f t="shared" si="8"/>
        <v>102</v>
      </c>
      <c r="L45" s="12">
        <f t="shared" si="8"/>
        <v>265</v>
      </c>
      <c r="M45" s="12">
        <f t="shared" si="8"/>
        <v>306</v>
      </c>
      <c r="N45" s="12">
        <f t="shared" si="8"/>
        <v>234</v>
      </c>
      <c r="O45" s="12">
        <f t="shared" si="8"/>
        <v>191</v>
      </c>
      <c r="P45" s="12">
        <f t="shared" si="8"/>
        <v>181</v>
      </c>
      <c r="Q45" s="12">
        <f t="shared" si="8"/>
        <v>217</v>
      </c>
      <c r="R45" s="12">
        <f t="shared" si="8"/>
        <v>272</v>
      </c>
      <c r="S45" s="243"/>
      <c r="T45" s="307"/>
      <c r="U45" s="13"/>
    </row>
    <row r="46" spans="1:21" ht="12.75" customHeight="1">
      <c r="A46" s="276"/>
      <c r="B46" s="15" t="s">
        <v>235</v>
      </c>
      <c r="C46" s="12">
        <f aca="true" t="shared" si="9" ref="C46:R46">ROUND(C21*(1-$B$361),2)</f>
        <v>220</v>
      </c>
      <c r="D46" s="12">
        <f t="shared" si="9"/>
        <v>300</v>
      </c>
      <c r="E46" s="12">
        <f t="shared" si="9"/>
        <v>147</v>
      </c>
      <c r="F46" s="12">
        <f t="shared" si="9"/>
        <v>147</v>
      </c>
      <c r="G46" s="12">
        <f t="shared" si="9"/>
        <v>195</v>
      </c>
      <c r="H46" s="12">
        <f t="shared" si="9"/>
        <v>195</v>
      </c>
      <c r="I46" s="12">
        <f t="shared" si="9"/>
        <v>195</v>
      </c>
      <c r="J46" s="12">
        <f t="shared" si="9"/>
        <v>254</v>
      </c>
      <c r="K46" s="12">
        <f t="shared" si="9"/>
        <v>87</v>
      </c>
      <c r="L46" s="12">
        <f t="shared" si="9"/>
        <v>220</v>
      </c>
      <c r="M46" s="12">
        <f t="shared" si="9"/>
        <v>254</v>
      </c>
      <c r="N46" s="12">
        <f t="shared" si="9"/>
        <v>195</v>
      </c>
      <c r="O46" s="12">
        <f t="shared" si="9"/>
        <v>160</v>
      </c>
      <c r="P46" s="12">
        <f t="shared" si="9"/>
        <v>155</v>
      </c>
      <c r="Q46" s="12">
        <f t="shared" si="9"/>
        <v>185</v>
      </c>
      <c r="R46" s="12">
        <f t="shared" si="9"/>
        <v>233</v>
      </c>
      <c r="S46" s="243"/>
      <c r="T46" s="307"/>
      <c r="U46" s="13"/>
    </row>
    <row r="47" spans="1:21" ht="12.75" customHeight="1">
      <c r="A47" s="277" t="s">
        <v>35</v>
      </c>
      <c r="B47" s="15" t="s">
        <v>142</v>
      </c>
      <c r="C47" s="12">
        <f aca="true" t="shared" si="10" ref="C47:R47">ROUND(C22*(1-$B$361),2)</f>
        <v>768</v>
      </c>
      <c r="D47" s="12">
        <f t="shared" si="10"/>
        <v>1067</v>
      </c>
      <c r="E47" s="12">
        <f t="shared" si="10"/>
        <v>496</v>
      </c>
      <c r="F47" s="12">
        <f t="shared" si="10"/>
        <v>496</v>
      </c>
      <c r="G47" s="12">
        <f t="shared" si="10"/>
        <v>674</v>
      </c>
      <c r="H47" s="12">
        <f t="shared" si="10"/>
        <v>674</v>
      </c>
      <c r="I47" s="12">
        <f t="shared" si="10"/>
        <v>674</v>
      </c>
      <c r="J47" s="12">
        <f t="shared" si="10"/>
        <v>892</v>
      </c>
      <c r="K47" s="12">
        <f t="shared" si="10"/>
        <v>269</v>
      </c>
      <c r="L47" s="12">
        <f t="shared" si="10"/>
        <v>768</v>
      </c>
      <c r="M47" s="12">
        <f t="shared" si="10"/>
        <v>892</v>
      </c>
      <c r="N47" s="12">
        <f t="shared" si="10"/>
        <v>674</v>
      </c>
      <c r="O47" s="12">
        <f t="shared" si="10"/>
        <v>543</v>
      </c>
      <c r="P47" s="12">
        <f t="shared" si="10"/>
        <v>486</v>
      </c>
      <c r="Q47" s="12">
        <f t="shared" si="10"/>
        <v>581</v>
      </c>
      <c r="R47" s="12">
        <f t="shared" si="10"/>
        <v>731</v>
      </c>
      <c r="S47" s="243"/>
      <c r="T47" s="307"/>
      <c r="U47" s="13"/>
    </row>
    <row r="48" spans="1:21" ht="15" customHeight="1">
      <c r="A48" s="278"/>
      <c r="B48" s="15" t="s">
        <v>38</v>
      </c>
      <c r="C48" s="12">
        <f aca="true" t="shared" si="11" ref="C48:R48">ROUND(C23*(1-$B$361),2)</f>
        <v>768</v>
      </c>
      <c r="D48" s="12">
        <f t="shared" si="11"/>
        <v>1067</v>
      </c>
      <c r="E48" s="12">
        <f t="shared" si="11"/>
        <v>496</v>
      </c>
      <c r="F48" s="12">
        <f t="shared" si="11"/>
        <v>496</v>
      </c>
      <c r="G48" s="12">
        <f t="shared" si="11"/>
        <v>674</v>
      </c>
      <c r="H48" s="12">
        <f t="shared" si="11"/>
        <v>674</v>
      </c>
      <c r="I48" s="12">
        <f t="shared" si="11"/>
        <v>674</v>
      </c>
      <c r="J48" s="12">
        <f t="shared" si="11"/>
        <v>892</v>
      </c>
      <c r="K48" s="12">
        <f t="shared" si="11"/>
        <v>269</v>
      </c>
      <c r="L48" s="12">
        <f t="shared" si="11"/>
        <v>768</v>
      </c>
      <c r="M48" s="12">
        <f t="shared" si="11"/>
        <v>892</v>
      </c>
      <c r="N48" s="12">
        <f t="shared" si="11"/>
        <v>674</v>
      </c>
      <c r="O48" s="12">
        <f t="shared" si="11"/>
        <v>543</v>
      </c>
      <c r="P48" s="12">
        <f t="shared" si="11"/>
        <v>486</v>
      </c>
      <c r="Q48" s="12">
        <f t="shared" si="11"/>
        <v>581</v>
      </c>
      <c r="R48" s="12">
        <f t="shared" si="11"/>
        <v>731</v>
      </c>
      <c r="S48" s="243"/>
      <c r="T48" s="307"/>
      <c r="U48" s="13"/>
    </row>
    <row r="49" spans="1:21" ht="15" customHeight="1">
      <c r="A49" s="278"/>
      <c r="B49" s="15" t="s">
        <v>130</v>
      </c>
      <c r="C49" s="12">
        <f aca="true" t="shared" si="12" ref="C49:R49">ROUND(C24*(1-$B$361),2)</f>
        <v>364</v>
      </c>
      <c r="D49" s="12">
        <f t="shared" si="12"/>
        <v>501</v>
      </c>
      <c r="E49" s="12">
        <f t="shared" si="12"/>
        <v>239</v>
      </c>
      <c r="F49" s="12">
        <f t="shared" si="12"/>
        <v>239</v>
      </c>
      <c r="G49" s="12">
        <f t="shared" si="12"/>
        <v>321</v>
      </c>
      <c r="H49" s="12">
        <f t="shared" si="12"/>
        <v>321</v>
      </c>
      <c r="I49" s="12">
        <f t="shared" si="12"/>
        <v>321</v>
      </c>
      <c r="J49" s="12">
        <f t="shared" si="12"/>
        <v>421</v>
      </c>
      <c r="K49" s="12">
        <f t="shared" si="12"/>
        <v>134</v>
      </c>
      <c r="L49" s="12">
        <f t="shared" si="12"/>
        <v>364</v>
      </c>
      <c r="M49" s="12">
        <f t="shared" si="12"/>
        <v>421</v>
      </c>
      <c r="N49" s="12">
        <f t="shared" si="12"/>
        <v>321</v>
      </c>
      <c r="O49" s="12">
        <f t="shared" si="12"/>
        <v>261</v>
      </c>
      <c r="P49" s="12">
        <f t="shared" si="12"/>
        <v>242</v>
      </c>
      <c r="Q49" s="12">
        <f t="shared" si="12"/>
        <v>289</v>
      </c>
      <c r="R49" s="12">
        <f t="shared" si="12"/>
        <v>364</v>
      </c>
      <c r="S49" s="243"/>
      <c r="T49" s="307"/>
      <c r="U49" s="13"/>
    </row>
    <row r="50" spans="1:21" ht="15" customHeight="1">
      <c r="A50" s="278"/>
      <c r="B50" s="15" t="s">
        <v>355</v>
      </c>
      <c r="C50" s="12">
        <f aca="true" t="shared" si="13" ref="C50:R50">ROUND(C25*(1-$B$361),2)</f>
        <v>346</v>
      </c>
      <c r="D50" s="12">
        <f t="shared" si="13"/>
        <v>477</v>
      </c>
      <c r="E50" s="12">
        <f t="shared" si="13"/>
        <v>228</v>
      </c>
      <c r="F50" s="12">
        <f t="shared" si="13"/>
        <v>228</v>
      </c>
      <c r="G50" s="12">
        <f t="shared" si="13"/>
        <v>305</v>
      </c>
      <c r="H50" s="12">
        <f t="shared" si="13"/>
        <v>305</v>
      </c>
      <c r="I50" s="12">
        <f t="shared" si="13"/>
        <v>305</v>
      </c>
      <c r="J50" s="12">
        <f t="shared" si="13"/>
        <v>401</v>
      </c>
      <c r="K50" s="12">
        <f t="shared" si="13"/>
        <v>129</v>
      </c>
      <c r="L50" s="12">
        <f t="shared" si="13"/>
        <v>346</v>
      </c>
      <c r="M50" s="12">
        <f t="shared" si="13"/>
        <v>401</v>
      </c>
      <c r="N50" s="12">
        <f t="shared" si="13"/>
        <v>305</v>
      </c>
      <c r="O50" s="12">
        <f t="shared" si="13"/>
        <v>248</v>
      </c>
      <c r="P50" s="12">
        <f t="shared" si="13"/>
        <v>230</v>
      </c>
      <c r="Q50" s="12">
        <f t="shared" si="13"/>
        <v>276</v>
      </c>
      <c r="R50" s="12">
        <f t="shared" si="13"/>
        <v>347</v>
      </c>
      <c r="S50" s="243"/>
      <c r="T50" s="307"/>
      <c r="U50" s="13"/>
    </row>
    <row r="51" spans="1:21" ht="15" customHeight="1">
      <c r="A51" s="278"/>
      <c r="B51" s="15" t="s">
        <v>41</v>
      </c>
      <c r="C51" s="12">
        <f aca="true" t="shared" si="14" ref="C51:R51">ROUND(C26*(1-$B$361),2)</f>
        <v>328</v>
      </c>
      <c r="D51" s="12">
        <f t="shared" si="14"/>
        <v>452</v>
      </c>
      <c r="E51" s="12">
        <f t="shared" si="14"/>
        <v>216</v>
      </c>
      <c r="F51" s="12">
        <f t="shared" si="14"/>
        <v>216</v>
      </c>
      <c r="G51" s="12">
        <f t="shared" si="14"/>
        <v>290</v>
      </c>
      <c r="H51" s="12">
        <f t="shared" si="14"/>
        <v>290</v>
      </c>
      <c r="I51" s="12">
        <f t="shared" si="14"/>
        <v>290</v>
      </c>
      <c r="J51" s="12">
        <f t="shared" si="14"/>
        <v>380</v>
      </c>
      <c r="K51" s="12">
        <f t="shared" si="14"/>
        <v>123</v>
      </c>
      <c r="L51" s="12">
        <f t="shared" si="14"/>
        <v>328</v>
      </c>
      <c r="M51" s="12">
        <f t="shared" si="14"/>
        <v>380</v>
      </c>
      <c r="N51" s="12">
        <f t="shared" si="14"/>
        <v>290</v>
      </c>
      <c r="O51" s="12">
        <f t="shared" si="14"/>
        <v>236</v>
      </c>
      <c r="P51" s="12">
        <f t="shared" si="14"/>
        <v>221</v>
      </c>
      <c r="Q51" s="12">
        <f t="shared" si="14"/>
        <v>264</v>
      </c>
      <c r="R51" s="12">
        <f t="shared" si="14"/>
        <v>332</v>
      </c>
      <c r="S51" s="243"/>
      <c r="T51" s="307"/>
      <c r="U51" s="13"/>
    </row>
    <row r="52" spans="1:33" ht="15" customHeight="1">
      <c r="A52" s="278"/>
      <c r="B52" s="15" t="s">
        <v>354</v>
      </c>
      <c r="C52" s="12">
        <f aca="true" t="shared" si="15" ref="C52:R52">ROUND(C27*(1-$B$361),2)</f>
        <v>295</v>
      </c>
      <c r="D52" s="12">
        <f t="shared" si="15"/>
        <v>405</v>
      </c>
      <c r="E52" s="12">
        <f t="shared" si="15"/>
        <v>195</v>
      </c>
      <c r="F52" s="12">
        <f t="shared" si="15"/>
        <v>195</v>
      </c>
      <c r="G52" s="12">
        <f t="shared" si="15"/>
        <v>261</v>
      </c>
      <c r="H52" s="12">
        <f t="shared" si="15"/>
        <v>261</v>
      </c>
      <c r="I52" s="12">
        <f t="shared" si="15"/>
        <v>261</v>
      </c>
      <c r="J52" s="12">
        <f t="shared" si="15"/>
        <v>341</v>
      </c>
      <c r="K52" s="12">
        <f t="shared" si="15"/>
        <v>112</v>
      </c>
      <c r="L52" s="12">
        <f t="shared" si="15"/>
        <v>295</v>
      </c>
      <c r="M52" s="12">
        <f t="shared" si="15"/>
        <v>341</v>
      </c>
      <c r="N52" s="12">
        <f t="shared" si="15"/>
        <v>261</v>
      </c>
      <c r="O52" s="12">
        <f t="shared" si="15"/>
        <v>212</v>
      </c>
      <c r="P52" s="12">
        <f t="shared" si="15"/>
        <v>199</v>
      </c>
      <c r="Q52" s="12">
        <f t="shared" si="15"/>
        <v>238</v>
      </c>
      <c r="R52" s="12">
        <f t="shared" si="15"/>
        <v>300</v>
      </c>
      <c r="S52" s="243"/>
      <c r="T52" s="307"/>
      <c r="U52" s="13"/>
      <c r="AG52" s="16"/>
    </row>
    <row r="53" spans="1:45" ht="12.75" customHeight="1">
      <c r="A53" s="278"/>
      <c r="B53" s="15" t="s">
        <v>44</v>
      </c>
      <c r="C53" s="12">
        <f aca="true" t="shared" si="16" ref="C53:R53">ROUND(C28*(1-$B$361),2)</f>
        <v>269</v>
      </c>
      <c r="D53" s="12">
        <f t="shared" si="16"/>
        <v>368</v>
      </c>
      <c r="E53" s="12">
        <f t="shared" si="16"/>
        <v>178</v>
      </c>
      <c r="F53" s="12">
        <f t="shared" si="16"/>
        <v>178</v>
      </c>
      <c r="G53" s="12">
        <f t="shared" si="16"/>
        <v>238</v>
      </c>
      <c r="H53" s="12">
        <f t="shared" si="16"/>
        <v>238</v>
      </c>
      <c r="I53" s="12">
        <f t="shared" si="16"/>
        <v>238</v>
      </c>
      <c r="J53" s="12">
        <f t="shared" si="16"/>
        <v>310</v>
      </c>
      <c r="K53" s="12">
        <f t="shared" si="16"/>
        <v>103</v>
      </c>
      <c r="L53" s="12">
        <f t="shared" si="16"/>
        <v>269</v>
      </c>
      <c r="M53" s="12">
        <f t="shared" si="16"/>
        <v>310</v>
      </c>
      <c r="N53" s="12">
        <f t="shared" si="16"/>
        <v>238</v>
      </c>
      <c r="O53" s="12">
        <f t="shared" si="16"/>
        <v>194</v>
      </c>
      <c r="P53" s="12">
        <f t="shared" si="16"/>
        <v>184</v>
      </c>
      <c r="Q53" s="12">
        <f t="shared" si="16"/>
        <v>221</v>
      </c>
      <c r="R53" s="12">
        <f t="shared" si="16"/>
        <v>277</v>
      </c>
      <c r="S53" s="243"/>
      <c r="T53" s="307"/>
      <c r="U53" s="13"/>
      <c r="AG53" s="14"/>
      <c r="AH53" s="6"/>
      <c r="AI53" s="6"/>
      <c r="AJ53" s="6"/>
      <c r="AK53" s="6"/>
      <c r="AL53" s="6"/>
      <c r="AM53" s="6"/>
      <c r="AN53" s="6"/>
      <c r="AO53" s="16"/>
      <c r="AP53" s="13"/>
      <c r="AQ53" s="17"/>
      <c r="AR53" s="17"/>
      <c r="AS53" s="17"/>
    </row>
    <row r="54" spans="1:45" ht="12.75" customHeight="1">
      <c r="A54" s="278"/>
      <c r="B54" s="177" t="s">
        <v>358</v>
      </c>
      <c r="C54" s="12">
        <f aca="true" t="shared" si="17" ref="C54:R54">ROUND(C29*(1-$B$361),2)</f>
        <v>264</v>
      </c>
      <c r="D54" s="12">
        <f t="shared" si="17"/>
        <v>361</v>
      </c>
      <c r="E54" s="12">
        <f t="shared" si="17"/>
        <v>175</v>
      </c>
      <c r="F54" s="12">
        <f t="shared" si="17"/>
        <v>175</v>
      </c>
      <c r="G54" s="12">
        <f t="shared" si="17"/>
        <v>233</v>
      </c>
      <c r="H54" s="12">
        <f t="shared" si="17"/>
        <v>233</v>
      </c>
      <c r="I54" s="12">
        <f t="shared" si="17"/>
        <v>233</v>
      </c>
      <c r="J54" s="12">
        <f t="shared" si="17"/>
        <v>304</v>
      </c>
      <c r="K54" s="12">
        <f t="shared" si="17"/>
        <v>101</v>
      </c>
      <c r="L54" s="12">
        <f t="shared" si="17"/>
        <v>264</v>
      </c>
      <c r="M54" s="12">
        <f t="shared" si="17"/>
        <v>304</v>
      </c>
      <c r="N54" s="12">
        <f t="shared" si="17"/>
        <v>233</v>
      </c>
      <c r="O54" s="12">
        <f t="shared" si="17"/>
        <v>191</v>
      </c>
      <c r="P54" s="12">
        <f t="shared" si="17"/>
        <v>181</v>
      </c>
      <c r="Q54" s="12">
        <f t="shared" si="17"/>
        <v>217</v>
      </c>
      <c r="R54" s="12">
        <f t="shared" si="17"/>
        <v>272</v>
      </c>
      <c r="S54" s="243"/>
      <c r="T54" s="307"/>
      <c r="U54" s="13"/>
      <c r="AG54" s="14"/>
      <c r="AH54" s="6"/>
      <c r="AI54" s="6"/>
      <c r="AJ54" s="6"/>
      <c r="AK54" s="6"/>
      <c r="AL54" s="6"/>
      <c r="AM54" s="6"/>
      <c r="AN54" s="6"/>
      <c r="AO54" s="16"/>
      <c r="AP54" s="13"/>
      <c r="AQ54" s="17"/>
      <c r="AR54" s="17"/>
      <c r="AS54" s="17"/>
    </row>
    <row r="55" spans="1:48" ht="12.75" customHeight="1">
      <c r="A55" s="278"/>
      <c r="B55" s="15" t="s">
        <v>141</v>
      </c>
      <c r="C55" s="12">
        <f aca="true" t="shared" si="18" ref="C55:R55">ROUND(C30*(1-$B$361),2)</f>
        <v>257</v>
      </c>
      <c r="D55" s="12">
        <f t="shared" si="18"/>
        <v>352</v>
      </c>
      <c r="E55" s="12">
        <f t="shared" si="18"/>
        <v>171</v>
      </c>
      <c r="F55" s="12">
        <f t="shared" si="18"/>
        <v>171</v>
      </c>
      <c r="G55" s="12">
        <f t="shared" si="18"/>
        <v>228</v>
      </c>
      <c r="H55" s="12">
        <f t="shared" si="18"/>
        <v>228</v>
      </c>
      <c r="I55" s="12">
        <f t="shared" si="18"/>
        <v>228</v>
      </c>
      <c r="J55" s="12">
        <f t="shared" si="18"/>
        <v>297</v>
      </c>
      <c r="K55" s="12">
        <f t="shared" si="18"/>
        <v>99</v>
      </c>
      <c r="L55" s="12">
        <f t="shared" si="18"/>
        <v>257</v>
      </c>
      <c r="M55" s="12">
        <f t="shared" si="18"/>
        <v>297</v>
      </c>
      <c r="N55" s="12">
        <f t="shared" si="18"/>
        <v>228</v>
      </c>
      <c r="O55" s="12">
        <f t="shared" si="18"/>
        <v>186</v>
      </c>
      <c r="P55" s="12">
        <f t="shared" si="18"/>
        <v>176</v>
      </c>
      <c r="Q55" s="12">
        <f t="shared" si="18"/>
        <v>211</v>
      </c>
      <c r="R55" s="12">
        <f t="shared" si="18"/>
        <v>265</v>
      </c>
      <c r="S55" s="243"/>
      <c r="T55" s="307"/>
      <c r="U55" s="13"/>
      <c r="AG55" s="14"/>
      <c r="AH55" s="6"/>
      <c r="AI55" s="6"/>
      <c r="AJ55" s="6"/>
      <c r="AK55" s="6"/>
      <c r="AL55" s="6"/>
      <c r="AM55" s="6"/>
      <c r="AN55" s="6"/>
      <c r="AO55" s="17"/>
      <c r="AP55" s="17"/>
      <c r="AQ55" s="18"/>
      <c r="AR55" s="17"/>
      <c r="AS55" s="13"/>
      <c r="AT55" s="17"/>
      <c r="AU55" s="17"/>
      <c r="AV55" s="17"/>
    </row>
    <row r="56" spans="1:48" ht="12.75" customHeight="1">
      <c r="A56" s="278"/>
      <c r="B56" s="15" t="s">
        <v>48</v>
      </c>
      <c r="C56" s="12">
        <f aca="true" t="shared" si="19" ref="C56:R56">ROUND(C31*(1-$B$361),2)</f>
        <v>221</v>
      </c>
      <c r="D56" s="12">
        <f t="shared" si="19"/>
        <v>301</v>
      </c>
      <c r="E56" s="12">
        <f t="shared" si="19"/>
        <v>148</v>
      </c>
      <c r="F56" s="12">
        <f t="shared" si="19"/>
        <v>148</v>
      </c>
      <c r="G56" s="12">
        <f t="shared" si="19"/>
        <v>196</v>
      </c>
      <c r="H56" s="12">
        <f t="shared" si="19"/>
        <v>196</v>
      </c>
      <c r="I56" s="12">
        <f t="shared" si="19"/>
        <v>196</v>
      </c>
      <c r="J56" s="12">
        <f t="shared" si="19"/>
        <v>254</v>
      </c>
      <c r="K56" s="12">
        <f t="shared" si="19"/>
        <v>87</v>
      </c>
      <c r="L56" s="12">
        <f t="shared" si="19"/>
        <v>221</v>
      </c>
      <c r="M56" s="12">
        <f t="shared" si="19"/>
        <v>254</v>
      </c>
      <c r="N56" s="12">
        <f t="shared" si="19"/>
        <v>196</v>
      </c>
      <c r="O56" s="12">
        <f t="shared" si="19"/>
        <v>160</v>
      </c>
      <c r="P56" s="12">
        <f t="shared" si="19"/>
        <v>155</v>
      </c>
      <c r="Q56" s="12">
        <f t="shared" si="19"/>
        <v>185</v>
      </c>
      <c r="R56" s="12">
        <f t="shared" si="19"/>
        <v>233</v>
      </c>
      <c r="S56" s="243"/>
      <c r="T56" s="307"/>
      <c r="U56" s="13"/>
      <c r="AG56" s="14"/>
      <c r="AH56" s="6"/>
      <c r="AI56" s="6"/>
      <c r="AJ56" s="6"/>
      <c r="AK56" s="6"/>
      <c r="AL56" s="6"/>
      <c r="AM56" s="6"/>
      <c r="AN56" s="6"/>
      <c r="AO56" s="19"/>
      <c r="AP56" s="17"/>
      <c r="AQ56" s="18"/>
      <c r="AR56" s="17"/>
      <c r="AS56" s="13"/>
      <c r="AT56" s="17"/>
      <c r="AU56" s="17"/>
      <c r="AV56" s="17"/>
    </row>
    <row r="57" spans="1:48" ht="12.75" customHeight="1">
      <c r="A57" s="278"/>
      <c r="B57" s="15" t="s">
        <v>50</v>
      </c>
      <c r="C57" s="56" t="s">
        <v>28</v>
      </c>
      <c r="D57" s="56" t="s">
        <v>28</v>
      </c>
      <c r="E57" s="56" t="s">
        <v>28</v>
      </c>
      <c r="F57" s="56" t="s">
        <v>28</v>
      </c>
      <c r="G57" s="56" t="s">
        <v>28</v>
      </c>
      <c r="H57" s="56" t="s">
        <v>28</v>
      </c>
      <c r="I57" s="56" t="s">
        <v>28</v>
      </c>
      <c r="J57" s="56" t="s">
        <v>28</v>
      </c>
      <c r="K57" s="56" t="s">
        <v>28</v>
      </c>
      <c r="L57" s="56" t="s">
        <v>28</v>
      </c>
      <c r="M57" s="56" t="s">
        <v>28</v>
      </c>
      <c r="N57" s="56" t="s">
        <v>28</v>
      </c>
      <c r="O57" s="56" t="s">
        <v>28</v>
      </c>
      <c r="P57" s="56" t="s">
        <v>28</v>
      </c>
      <c r="Q57" s="163" t="s">
        <v>28</v>
      </c>
      <c r="R57" s="163" t="s">
        <v>28</v>
      </c>
      <c r="S57" s="243"/>
      <c r="T57" s="307"/>
      <c r="U57" s="13"/>
      <c r="AG57" s="14"/>
      <c r="AH57" s="6"/>
      <c r="AI57" s="6"/>
      <c r="AJ57" s="6"/>
      <c r="AK57" s="6"/>
      <c r="AL57" s="6"/>
      <c r="AM57" s="6"/>
      <c r="AN57" s="6"/>
      <c r="AO57" s="19"/>
      <c r="AP57" s="17"/>
      <c r="AQ57" s="18"/>
      <c r="AR57" s="17"/>
      <c r="AS57" s="13"/>
      <c r="AT57" s="17"/>
      <c r="AU57" s="17"/>
      <c r="AV57" s="17"/>
    </row>
    <row r="58" spans="1:21" ht="12.75" customHeight="1">
      <c r="A58" s="278"/>
      <c r="B58" s="15" t="s">
        <v>52</v>
      </c>
      <c r="C58" s="12">
        <f>ROUND(C33*(1-$B$361),2)</f>
        <v>296</v>
      </c>
      <c r="D58" s="12" t="s">
        <v>28</v>
      </c>
      <c r="E58" s="12">
        <f aca="true" t="shared" si="20" ref="E58:R58">ROUND(E33*(1-$B$361),2)</f>
        <v>196</v>
      </c>
      <c r="F58" s="12">
        <f t="shared" si="20"/>
        <v>196</v>
      </c>
      <c r="G58" s="12">
        <f t="shared" si="20"/>
        <v>261</v>
      </c>
      <c r="H58" s="12">
        <f t="shared" si="20"/>
        <v>261</v>
      </c>
      <c r="I58" s="12">
        <f t="shared" si="20"/>
        <v>261</v>
      </c>
      <c r="J58" s="12">
        <f t="shared" si="20"/>
        <v>342</v>
      </c>
      <c r="K58" s="12">
        <f t="shared" si="20"/>
        <v>112</v>
      </c>
      <c r="L58" s="12">
        <f t="shared" si="20"/>
        <v>296</v>
      </c>
      <c r="M58" s="12">
        <f t="shared" si="20"/>
        <v>342</v>
      </c>
      <c r="N58" s="12">
        <f t="shared" si="20"/>
        <v>261</v>
      </c>
      <c r="O58" s="12">
        <f t="shared" si="20"/>
        <v>213</v>
      </c>
      <c r="P58" s="12">
        <f t="shared" si="20"/>
        <v>201</v>
      </c>
      <c r="Q58" s="12">
        <f t="shared" si="20"/>
        <v>240</v>
      </c>
      <c r="R58" s="12">
        <f t="shared" si="20"/>
        <v>302</v>
      </c>
      <c r="S58" s="243"/>
      <c r="T58" s="307"/>
      <c r="U58" s="13"/>
    </row>
    <row r="59" spans="1:21" ht="12.75" customHeight="1">
      <c r="A59" s="279"/>
      <c r="B59" s="15" t="s">
        <v>54</v>
      </c>
      <c r="C59" s="12">
        <f>ROUND(C34*(1-$B$361),2)</f>
        <v>221</v>
      </c>
      <c r="D59" s="12">
        <f>ROUND(D34*(1-$B$361),2)</f>
        <v>275</v>
      </c>
      <c r="E59" s="12">
        <f aca="true" t="shared" si="21" ref="E59:R59">ROUND(E34*(1-$B$361),2)</f>
        <v>136</v>
      </c>
      <c r="F59" s="12">
        <f t="shared" si="21"/>
        <v>136</v>
      </c>
      <c r="G59" s="12">
        <f t="shared" si="21"/>
        <v>179</v>
      </c>
      <c r="H59" s="12">
        <f t="shared" si="21"/>
        <v>179</v>
      </c>
      <c r="I59" s="12">
        <f t="shared" si="21"/>
        <v>179</v>
      </c>
      <c r="J59" s="12">
        <f t="shared" si="21"/>
        <v>232</v>
      </c>
      <c r="K59" s="12">
        <f t="shared" si="21"/>
        <v>81</v>
      </c>
      <c r="L59" s="12">
        <f t="shared" si="21"/>
        <v>202</v>
      </c>
      <c r="M59" s="12">
        <f t="shared" si="21"/>
        <v>232</v>
      </c>
      <c r="N59" s="12">
        <f t="shared" si="21"/>
        <v>179</v>
      </c>
      <c r="O59" s="12">
        <f t="shared" si="21"/>
        <v>147</v>
      </c>
      <c r="P59" s="12">
        <f t="shared" si="21"/>
        <v>143</v>
      </c>
      <c r="Q59" s="12">
        <f t="shared" si="21"/>
        <v>171</v>
      </c>
      <c r="R59" s="12">
        <f t="shared" si="21"/>
        <v>215</v>
      </c>
      <c r="S59" s="243"/>
      <c r="T59" s="307"/>
      <c r="U59" s="13"/>
    </row>
    <row r="60" spans="1:21" ht="12.75" customHeight="1">
      <c r="A60" s="309" t="s">
        <v>56</v>
      </c>
      <c r="B60" s="15" t="s">
        <v>57</v>
      </c>
      <c r="C60" s="12">
        <f>ROUND(C35*(1-$B$361),2)</f>
        <v>186</v>
      </c>
      <c r="D60" s="12">
        <f>ROUND(D35*(1-$B$361),2)</f>
        <v>252</v>
      </c>
      <c r="E60" s="12">
        <f aca="true" t="shared" si="22" ref="E60:R60">ROUND(E35*(1-$B$361),2)</f>
        <v>125</v>
      </c>
      <c r="F60" s="12">
        <f t="shared" si="22"/>
        <v>125</v>
      </c>
      <c r="G60" s="12">
        <f t="shared" si="22"/>
        <v>165</v>
      </c>
      <c r="H60" s="12">
        <f t="shared" si="22"/>
        <v>165</v>
      </c>
      <c r="I60" s="12">
        <f t="shared" si="22"/>
        <v>165</v>
      </c>
      <c r="J60" s="12">
        <f t="shared" si="22"/>
        <v>213</v>
      </c>
      <c r="K60" s="12">
        <f t="shared" si="22"/>
        <v>75</v>
      </c>
      <c r="L60" s="12">
        <f t="shared" si="22"/>
        <v>186</v>
      </c>
      <c r="M60" s="12">
        <f t="shared" si="22"/>
        <v>213</v>
      </c>
      <c r="N60" s="12">
        <f t="shared" si="22"/>
        <v>165</v>
      </c>
      <c r="O60" s="12">
        <f t="shared" si="22"/>
        <v>136</v>
      </c>
      <c r="P60" s="12">
        <f t="shared" si="22"/>
        <v>133</v>
      </c>
      <c r="Q60" s="12">
        <f t="shared" si="22"/>
        <v>160</v>
      </c>
      <c r="R60" s="12">
        <f t="shared" si="22"/>
        <v>201</v>
      </c>
      <c r="S60" s="243"/>
      <c r="T60" s="307"/>
      <c r="U60" s="13"/>
    </row>
    <row r="61" spans="1:21" ht="12.75" customHeight="1" thickBot="1">
      <c r="A61" s="310"/>
      <c r="B61" s="55" t="s">
        <v>59</v>
      </c>
      <c r="C61" s="12">
        <f>ROUND(C36*(1-$B$361),2)</f>
        <v>213</v>
      </c>
      <c r="D61" s="12">
        <f>ROUND(D36*(1-$B$361),2)</f>
        <v>291</v>
      </c>
      <c r="E61" s="12">
        <f aca="true" t="shared" si="23" ref="E61:R61">ROUND(E36*(1-$B$361),2)</f>
        <v>143</v>
      </c>
      <c r="F61" s="12">
        <f t="shared" si="23"/>
        <v>143</v>
      </c>
      <c r="G61" s="12">
        <f t="shared" si="23"/>
        <v>189</v>
      </c>
      <c r="H61" s="12">
        <f t="shared" si="23"/>
        <v>189</v>
      </c>
      <c r="I61" s="12">
        <f t="shared" si="23"/>
        <v>189</v>
      </c>
      <c r="J61" s="12">
        <f t="shared" si="23"/>
        <v>245</v>
      </c>
      <c r="K61" s="12">
        <f t="shared" si="23"/>
        <v>84</v>
      </c>
      <c r="L61" s="12">
        <f t="shared" si="23"/>
        <v>213</v>
      </c>
      <c r="M61" s="12">
        <f t="shared" si="23"/>
        <v>245</v>
      </c>
      <c r="N61" s="12">
        <f t="shared" si="23"/>
        <v>189</v>
      </c>
      <c r="O61" s="12">
        <f t="shared" si="23"/>
        <v>155</v>
      </c>
      <c r="P61" s="12">
        <f t="shared" si="23"/>
        <v>150</v>
      </c>
      <c r="Q61" s="12">
        <f t="shared" si="23"/>
        <v>179</v>
      </c>
      <c r="R61" s="12">
        <f t="shared" si="23"/>
        <v>225</v>
      </c>
      <c r="S61" s="297"/>
      <c r="T61" s="308"/>
      <c r="U61" s="13"/>
    </row>
    <row r="62" spans="1:20" ht="12.75" customHeight="1">
      <c r="A62" s="304" t="s">
        <v>61</v>
      </c>
      <c r="B62" s="305"/>
      <c r="C62" s="247" t="s">
        <v>62</v>
      </c>
      <c r="D62" s="248"/>
      <c r="E62" s="248"/>
      <c r="F62" s="248"/>
      <c r="G62" s="248"/>
      <c r="H62" s="248"/>
      <c r="I62" s="248"/>
      <c r="J62" s="248"/>
      <c r="K62" s="248"/>
      <c r="L62" s="248"/>
      <c r="M62" s="248"/>
      <c r="N62" s="248"/>
      <c r="O62" s="248"/>
      <c r="P62" s="248"/>
      <c r="Q62" s="248"/>
      <c r="R62" s="248"/>
      <c r="S62" s="248"/>
      <c r="T62" s="248"/>
    </row>
    <row r="63" spans="12:21" ht="18.75" customHeight="1">
      <c r="L63" s="5"/>
      <c r="O63" s="7"/>
      <c r="P63" s="7"/>
      <c r="Q63" s="7"/>
      <c r="R63" s="21"/>
      <c r="S63" s="22"/>
      <c r="T63" s="22"/>
      <c r="U63" s="22"/>
    </row>
    <row r="64" spans="1:21" ht="26.25" customHeight="1">
      <c r="A64" s="162" t="s">
        <v>66</v>
      </c>
      <c r="B64" s="129" t="s">
        <v>103</v>
      </c>
      <c r="C64" s="129" t="s">
        <v>104</v>
      </c>
      <c r="D64" s="129" t="s">
        <v>105</v>
      </c>
      <c r="F64" s="11"/>
      <c r="G64" s="11"/>
      <c r="H64" s="32"/>
      <c r="I64" s="32"/>
      <c r="J64" s="32"/>
      <c r="N64" s="267" t="s">
        <v>178</v>
      </c>
      <c r="O64" s="130" t="s">
        <v>66</v>
      </c>
      <c r="P64" s="130" t="s">
        <v>67</v>
      </c>
      <c r="Q64" s="130" t="s">
        <v>68</v>
      </c>
      <c r="R64" s="130" t="s">
        <v>69</v>
      </c>
      <c r="S64" s="23"/>
      <c r="T64" s="23"/>
      <c r="U64" s="11"/>
    </row>
    <row r="65" spans="1:14" ht="12.75" customHeight="1" hidden="1">
      <c r="A65" s="150" t="s">
        <v>106</v>
      </c>
      <c r="B65" s="161" t="s">
        <v>107</v>
      </c>
      <c r="C65" s="147">
        <v>1.2</v>
      </c>
      <c r="D65" s="57"/>
      <c r="F65" s="11"/>
      <c r="G65" s="11"/>
      <c r="H65" s="32"/>
      <c r="I65" s="32"/>
      <c r="J65" s="32"/>
      <c r="N65" s="267"/>
    </row>
    <row r="66" spans="1:14" ht="12.75" customHeight="1" hidden="1">
      <c r="A66" s="150" t="s">
        <v>106</v>
      </c>
      <c r="B66" s="161" t="s">
        <v>108</v>
      </c>
      <c r="C66" s="147">
        <v>2.6</v>
      </c>
      <c r="D66" s="57"/>
      <c r="F66" s="11"/>
      <c r="G66" s="11"/>
      <c r="H66" s="32"/>
      <c r="I66" s="32"/>
      <c r="J66" s="32"/>
      <c r="N66" s="267"/>
    </row>
    <row r="67" spans="1:14" ht="12.75" customHeight="1" hidden="1">
      <c r="A67" s="150" t="s">
        <v>109</v>
      </c>
      <c r="B67" s="161" t="s">
        <v>107</v>
      </c>
      <c r="C67" s="147">
        <v>4.05</v>
      </c>
      <c r="D67" s="57"/>
      <c r="F67" s="11"/>
      <c r="G67" s="11"/>
      <c r="H67" s="32"/>
      <c r="I67" s="32"/>
      <c r="J67" s="32"/>
      <c r="N67" s="267"/>
    </row>
    <row r="68" spans="1:14" ht="12.75" customHeight="1" hidden="1">
      <c r="A68" s="150" t="s">
        <v>109</v>
      </c>
      <c r="B68" s="161" t="s">
        <v>108</v>
      </c>
      <c r="C68" s="147">
        <v>4.8</v>
      </c>
      <c r="D68" s="57"/>
      <c r="F68" s="11"/>
      <c r="G68" s="11"/>
      <c r="H68" s="32"/>
      <c r="I68" s="32"/>
      <c r="J68" s="32"/>
      <c r="N68" s="267"/>
    </row>
    <row r="69" spans="1:14" ht="12.75" customHeight="1" hidden="1">
      <c r="A69" s="150" t="s">
        <v>110</v>
      </c>
      <c r="B69" s="29"/>
      <c r="C69" s="147">
        <v>4.71</v>
      </c>
      <c r="D69" s="57"/>
      <c r="F69" s="11"/>
      <c r="G69" s="11"/>
      <c r="H69" s="32"/>
      <c r="I69" s="32"/>
      <c r="J69" s="32"/>
      <c r="N69" s="267"/>
    </row>
    <row r="70" spans="1:29" ht="12.75" customHeight="1" hidden="1">
      <c r="A70" s="150" t="s">
        <v>112</v>
      </c>
      <c r="B70" s="29"/>
      <c r="C70" s="147">
        <v>3.09</v>
      </c>
      <c r="D70" s="57"/>
      <c r="F70" s="7"/>
      <c r="G70" s="7"/>
      <c r="H70" s="38"/>
      <c r="I70" s="38"/>
      <c r="J70" s="38"/>
      <c r="N70" s="267"/>
      <c r="Y70" s="16"/>
      <c r="Z70" s="16"/>
      <c r="AA70" s="16"/>
      <c r="AB70" s="16"/>
      <c r="AC70" s="25"/>
    </row>
    <row r="71" spans="1:26" ht="12.75">
      <c r="A71" s="301" t="s">
        <v>106</v>
      </c>
      <c r="B71" s="29" t="s">
        <v>107</v>
      </c>
      <c r="C71" s="12">
        <f aca="true" t="shared" si="24" ref="C71:C76">ROUND(C65*(1-$B$363),2)</f>
        <v>1.2</v>
      </c>
      <c r="D71" s="57" t="str">
        <f>C71*200&amp;" (200 шт)"</f>
        <v>240 (200 шт)</v>
      </c>
      <c r="F71" s="7"/>
      <c r="G71" s="7"/>
      <c r="H71" s="17"/>
      <c r="I71" s="17"/>
      <c r="J71" s="17"/>
      <c r="N71" s="267"/>
      <c r="O71" s="249" t="s">
        <v>184</v>
      </c>
      <c r="P71" s="249" t="s">
        <v>75</v>
      </c>
      <c r="Q71" s="24" t="s">
        <v>76</v>
      </c>
      <c r="R71" s="169">
        <f aca="true" t="shared" si="25" ref="R71:R92">IF(ISTEXT(W71)=TRUE,W71,ROUND(W71*(1-$B$362),2))</f>
        <v>27345</v>
      </c>
      <c r="S71" s="64"/>
      <c r="T71" s="64"/>
      <c r="U71" s="64"/>
      <c r="W71" s="64">
        <v>27345</v>
      </c>
      <c r="X71" s="16"/>
      <c r="Y71" s="16"/>
      <c r="Z71" s="16"/>
    </row>
    <row r="72" spans="1:24" ht="12.75">
      <c r="A72" s="302"/>
      <c r="B72" s="29" t="s">
        <v>108</v>
      </c>
      <c r="C72" s="12">
        <f t="shared" si="24"/>
        <v>2.6</v>
      </c>
      <c r="D72" s="57" t="str">
        <f>C72*200&amp;" (200 шт)"</f>
        <v>520 (200 шт)</v>
      </c>
      <c r="F72" s="7"/>
      <c r="G72" s="7"/>
      <c r="H72" s="17"/>
      <c r="I72" s="17"/>
      <c r="J72" s="17"/>
      <c r="N72" s="267"/>
      <c r="O72" s="249"/>
      <c r="P72" s="249"/>
      <c r="Q72" s="24" t="s">
        <v>314</v>
      </c>
      <c r="R72" s="169">
        <f t="shared" si="25"/>
        <v>29733</v>
      </c>
      <c r="S72" s="64"/>
      <c r="T72" s="64"/>
      <c r="U72" s="64"/>
      <c r="W72" s="64">
        <v>29733</v>
      </c>
      <c r="X72" s="16"/>
    </row>
    <row r="73" spans="1:23" ht="12.75">
      <c r="A73" s="298" t="s">
        <v>109</v>
      </c>
      <c r="B73" s="29" t="s">
        <v>107</v>
      </c>
      <c r="C73" s="12">
        <f t="shared" si="24"/>
        <v>4.05</v>
      </c>
      <c r="D73" s="57" t="str">
        <f>C73*250&amp;" (250 шт)"</f>
        <v>1012,5 (250 шт)</v>
      </c>
      <c r="F73" s="7"/>
      <c r="G73" s="7"/>
      <c r="H73" s="17"/>
      <c r="I73" s="17"/>
      <c r="J73" s="17"/>
      <c r="N73" s="267"/>
      <c r="O73" s="249"/>
      <c r="P73" s="249"/>
      <c r="Q73" s="24" t="s">
        <v>78</v>
      </c>
      <c r="R73" s="169">
        <f t="shared" si="25"/>
        <v>28541</v>
      </c>
      <c r="S73" s="64"/>
      <c r="T73" s="64"/>
      <c r="U73" s="64"/>
      <c r="W73" s="64">
        <v>28541</v>
      </c>
    </row>
    <row r="74" spans="1:23" ht="12.75">
      <c r="A74" s="299"/>
      <c r="B74" s="29" t="s">
        <v>108</v>
      </c>
      <c r="C74" s="12">
        <f t="shared" si="24"/>
        <v>4.8</v>
      </c>
      <c r="D74" s="57" t="str">
        <f>C74*250&amp;" (250 шт)"</f>
        <v>1200 (250 шт)</v>
      </c>
      <c r="F74" s="7"/>
      <c r="G74" s="8"/>
      <c r="H74" s="17"/>
      <c r="I74" s="17"/>
      <c r="J74" s="17"/>
      <c r="N74" s="267"/>
      <c r="O74" s="249"/>
      <c r="P74" s="249"/>
      <c r="Q74" s="24" t="s">
        <v>315</v>
      </c>
      <c r="R74" s="169">
        <f t="shared" si="25"/>
        <v>30702</v>
      </c>
      <c r="S74" s="64"/>
      <c r="T74" s="64"/>
      <c r="U74" s="64"/>
      <c r="W74" s="64">
        <v>30702</v>
      </c>
    </row>
    <row r="75" spans="1:23" ht="12.75">
      <c r="A75" s="52" t="s">
        <v>110</v>
      </c>
      <c r="B75" s="30" t="s">
        <v>111</v>
      </c>
      <c r="C75" s="12">
        <f t="shared" si="24"/>
        <v>4.71</v>
      </c>
      <c r="D75" s="57" t="str">
        <f>C75*1400&amp;" (1400 шт)"</f>
        <v>6594 (1400 шт)</v>
      </c>
      <c r="E75" s="17"/>
      <c r="F75" s="8"/>
      <c r="G75" s="17"/>
      <c r="H75" s="17"/>
      <c r="I75" s="17"/>
      <c r="J75" s="17"/>
      <c r="N75" s="267"/>
      <c r="O75" s="249"/>
      <c r="P75" s="249"/>
      <c r="Q75" s="24" t="s">
        <v>316</v>
      </c>
      <c r="R75" s="169">
        <f t="shared" si="25"/>
        <v>33534</v>
      </c>
      <c r="S75" s="64"/>
      <c r="T75" s="64"/>
      <c r="U75" s="64"/>
      <c r="W75" s="64">
        <v>33534</v>
      </c>
    </row>
    <row r="76" spans="1:23" ht="15" customHeight="1">
      <c r="A76" s="52" t="s">
        <v>112</v>
      </c>
      <c r="B76" s="31" t="s">
        <v>28</v>
      </c>
      <c r="C76" s="12">
        <f t="shared" si="24"/>
        <v>3.09</v>
      </c>
      <c r="D76" s="57" t="str">
        <f>C76*500&amp;" (500 шт)"</f>
        <v>1545 (500 шт)</v>
      </c>
      <c r="E76" s="17"/>
      <c r="F76" s="17"/>
      <c r="G76" s="17"/>
      <c r="H76" s="17"/>
      <c r="I76" s="17"/>
      <c r="J76" s="17"/>
      <c r="N76" s="267"/>
      <c r="O76" s="249" t="s">
        <v>185</v>
      </c>
      <c r="P76" s="249"/>
      <c r="Q76" s="24" t="s">
        <v>81</v>
      </c>
      <c r="R76" s="169">
        <f t="shared" si="25"/>
        <v>48410</v>
      </c>
      <c r="S76" s="64"/>
      <c r="T76" s="64"/>
      <c r="U76" s="64"/>
      <c r="W76" s="64">
        <v>48410</v>
      </c>
    </row>
    <row r="77" spans="1:23" ht="12.75" customHeight="1">
      <c r="A77" s="27"/>
      <c r="B77" s="17"/>
      <c r="C77" s="17"/>
      <c r="D77" s="17"/>
      <c r="E77" s="17"/>
      <c r="F77" s="17"/>
      <c r="G77" s="17"/>
      <c r="H77" s="17"/>
      <c r="I77" s="17"/>
      <c r="J77" s="17"/>
      <c r="N77" s="267"/>
      <c r="O77" s="249"/>
      <c r="P77" s="249"/>
      <c r="Q77" s="24" t="s">
        <v>317</v>
      </c>
      <c r="R77" s="169">
        <f t="shared" si="25"/>
        <v>62195</v>
      </c>
      <c r="S77" s="64"/>
      <c r="T77" s="64"/>
      <c r="U77" s="64"/>
      <c r="W77" s="64">
        <v>62195</v>
      </c>
    </row>
    <row r="78" spans="1:23" ht="12.75" customHeight="1">
      <c r="A78" s="14"/>
      <c r="B78" s="17"/>
      <c r="C78" s="17"/>
      <c r="D78" s="17"/>
      <c r="E78" s="17"/>
      <c r="F78" s="17"/>
      <c r="G78" s="17"/>
      <c r="H78" s="17"/>
      <c r="I78" s="17"/>
      <c r="J78" s="17"/>
      <c r="N78" s="267"/>
      <c r="O78" s="249"/>
      <c r="P78" s="249"/>
      <c r="Q78" s="24" t="s">
        <v>84</v>
      </c>
      <c r="R78" s="169">
        <f t="shared" si="25"/>
        <v>56765</v>
      </c>
      <c r="S78" s="64"/>
      <c r="T78" s="64"/>
      <c r="U78" s="64"/>
      <c r="W78" s="64">
        <v>56765</v>
      </c>
    </row>
    <row r="79" spans="1:23" ht="12.75" customHeight="1">
      <c r="A79" s="14"/>
      <c r="B79" s="17"/>
      <c r="C79" s="17"/>
      <c r="D79" s="17"/>
      <c r="E79" s="17"/>
      <c r="F79" s="17"/>
      <c r="G79" s="17"/>
      <c r="H79" s="48"/>
      <c r="I79" s="48"/>
      <c r="J79" s="48"/>
      <c r="N79" s="267"/>
      <c r="O79" s="249"/>
      <c r="P79" s="249"/>
      <c r="Q79" s="24" t="s">
        <v>96</v>
      </c>
      <c r="R79" s="169">
        <f t="shared" si="25"/>
        <v>71417</v>
      </c>
      <c r="S79" s="64"/>
      <c r="T79" s="64"/>
      <c r="U79" s="64"/>
      <c r="W79" s="64">
        <v>71417</v>
      </c>
    </row>
    <row r="80" spans="1:23" ht="12.75">
      <c r="A80" s="14"/>
      <c r="B80" s="17"/>
      <c r="C80" s="17"/>
      <c r="D80" s="17"/>
      <c r="E80" s="17"/>
      <c r="F80" s="17"/>
      <c r="G80" s="17"/>
      <c r="H80" s="48"/>
      <c r="I80" s="48"/>
      <c r="J80" s="48"/>
      <c r="N80" s="267"/>
      <c r="O80" s="249" t="s">
        <v>186</v>
      </c>
      <c r="P80" s="249"/>
      <c r="Q80" s="24" t="s">
        <v>86</v>
      </c>
      <c r="R80" s="169">
        <f t="shared" si="25"/>
        <v>81782</v>
      </c>
      <c r="S80" s="64"/>
      <c r="T80" s="64"/>
      <c r="U80" s="64"/>
      <c r="W80" s="64">
        <v>81782</v>
      </c>
    </row>
    <row r="81" spans="1:23" ht="12.75">
      <c r="A81" s="14"/>
      <c r="B81" s="48"/>
      <c r="C81" s="48"/>
      <c r="D81" s="48"/>
      <c r="E81" s="48"/>
      <c r="F81" s="48"/>
      <c r="G81" s="48"/>
      <c r="N81" s="267"/>
      <c r="O81" s="249"/>
      <c r="P81" s="249"/>
      <c r="Q81" s="24" t="s">
        <v>88</v>
      </c>
      <c r="R81" s="169">
        <f t="shared" si="25"/>
        <v>86213</v>
      </c>
      <c r="S81" s="64"/>
      <c r="T81" s="64"/>
      <c r="U81" s="64"/>
      <c r="W81" s="64">
        <v>86213</v>
      </c>
    </row>
    <row r="82" spans="1:23" ht="12.75">
      <c r="A82" s="14"/>
      <c r="B82" s="48"/>
      <c r="C82" s="48"/>
      <c r="D82" s="48"/>
      <c r="E82" s="48"/>
      <c r="F82" s="48"/>
      <c r="G82" s="48"/>
      <c r="N82" s="267"/>
      <c r="O82" s="249"/>
      <c r="P82" s="249"/>
      <c r="Q82" s="24" t="s">
        <v>92</v>
      </c>
      <c r="R82" s="169">
        <f t="shared" si="25"/>
        <v>97237</v>
      </c>
      <c r="S82" s="64"/>
      <c r="T82" s="64"/>
      <c r="U82" s="64"/>
      <c r="W82" s="64">
        <v>97237</v>
      </c>
    </row>
    <row r="83" spans="14:23" ht="12.75">
      <c r="N83" s="267"/>
      <c r="O83" s="249"/>
      <c r="P83" s="249"/>
      <c r="Q83" s="24" t="s">
        <v>93</v>
      </c>
      <c r="R83" s="169">
        <f t="shared" si="25"/>
        <v>87909</v>
      </c>
      <c r="S83" s="64"/>
      <c r="T83" s="64"/>
      <c r="U83" s="64"/>
      <c r="W83" s="64">
        <v>87909</v>
      </c>
    </row>
    <row r="84" spans="3:49" s="39" customFormat="1" ht="12.75">
      <c r="C84" s="2"/>
      <c r="D84" s="2"/>
      <c r="E84" s="2"/>
      <c r="F84" s="2"/>
      <c r="G84" s="2"/>
      <c r="H84" s="2"/>
      <c r="I84" s="2"/>
      <c r="J84" s="2"/>
      <c r="K84" s="2"/>
      <c r="M84" s="2"/>
      <c r="N84" s="267"/>
      <c r="O84" s="249"/>
      <c r="P84" s="249"/>
      <c r="Q84" s="24" t="s">
        <v>96</v>
      </c>
      <c r="R84" s="169">
        <f t="shared" si="25"/>
        <v>92254</v>
      </c>
      <c r="S84" s="64"/>
      <c r="T84" s="64"/>
      <c r="U84" s="64"/>
      <c r="V84" s="2"/>
      <c r="W84" s="64">
        <v>92254</v>
      </c>
      <c r="X84" s="2"/>
      <c r="Y84" s="2"/>
      <c r="Z84" s="2"/>
      <c r="AA84" s="2"/>
      <c r="AB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</row>
    <row r="85" spans="3:49" s="39" customFormat="1" ht="12.75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67"/>
      <c r="O85" s="249"/>
      <c r="P85" s="249"/>
      <c r="Q85" s="24" t="s">
        <v>98</v>
      </c>
      <c r="R85" s="169">
        <f t="shared" si="25"/>
        <v>103795</v>
      </c>
      <c r="S85" s="64"/>
      <c r="T85" s="64"/>
      <c r="U85" s="64"/>
      <c r="V85" s="2"/>
      <c r="W85" s="64">
        <v>103795</v>
      </c>
      <c r="X85" s="2"/>
      <c r="Y85" s="2"/>
      <c r="Z85" s="2"/>
      <c r="AA85" s="2"/>
      <c r="AB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</row>
    <row r="86" spans="1:23" ht="12.75" customHeight="1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6"/>
      <c r="N86" s="267"/>
      <c r="O86" s="249"/>
      <c r="P86" s="249"/>
      <c r="Q86" s="24" t="s">
        <v>318</v>
      </c>
      <c r="R86" s="169">
        <f t="shared" si="25"/>
        <v>110028</v>
      </c>
      <c r="S86" s="64"/>
      <c r="T86" s="64"/>
      <c r="U86" s="64"/>
      <c r="W86" s="64">
        <v>110028</v>
      </c>
    </row>
    <row r="87" spans="1:23" ht="12.75" customHeight="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N87" s="267"/>
      <c r="O87" s="240" t="s">
        <v>187</v>
      </c>
      <c r="P87" s="249"/>
      <c r="Q87" s="24" t="s">
        <v>86</v>
      </c>
      <c r="R87" s="169">
        <f t="shared" si="25"/>
        <v>70689</v>
      </c>
      <c r="S87" s="64"/>
      <c r="T87" s="64"/>
      <c r="U87" s="64"/>
      <c r="W87" s="64">
        <v>70689</v>
      </c>
    </row>
    <row r="88" spans="1:23" ht="12.75" customHeight="1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N88" s="267"/>
      <c r="O88" s="243"/>
      <c r="P88" s="249"/>
      <c r="Q88" s="24" t="s">
        <v>88</v>
      </c>
      <c r="R88" s="169">
        <f t="shared" si="25"/>
        <v>75119</v>
      </c>
      <c r="S88" s="64"/>
      <c r="T88" s="64"/>
      <c r="U88" s="64"/>
      <c r="W88" s="64">
        <v>75119</v>
      </c>
    </row>
    <row r="89" spans="1:23" ht="12.75" customHeight="1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N89" s="267"/>
      <c r="O89" s="243"/>
      <c r="P89" s="249"/>
      <c r="Q89" s="24" t="s">
        <v>92</v>
      </c>
      <c r="R89" s="169">
        <f t="shared" si="25"/>
        <v>86144</v>
      </c>
      <c r="S89" s="64"/>
      <c r="T89" s="64"/>
      <c r="U89" s="64"/>
      <c r="W89" s="64">
        <v>86144</v>
      </c>
    </row>
    <row r="90" spans="1:23" ht="12.75" customHeight="1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N90" s="267"/>
      <c r="O90" s="243"/>
      <c r="P90" s="249"/>
      <c r="Q90" s="24" t="s">
        <v>93</v>
      </c>
      <c r="R90" s="169">
        <f t="shared" si="25"/>
        <v>75364</v>
      </c>
      <c r="S90" s="64"/>
      <c r="T90" s="64"/>
      <c r="U90" s="64"/>
      <c r="W90" s="64">
        <v>75364</v>
      </c>
    </row>
    <row r="91" spans="1:23" ht="12.75" customHeight="1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N91" s="267"/>
      <c r="O91" s="243"/>
      <c r="P91" s="249"/>
      <c r="Q91" s="24" t="s">
        <v>96</v>
      </c>
      <c r="R91" s="169">
        <f t="shared" si="25"/>
        <v>79710</v>
      </c>
      <c r="S91" s="64"/>
      <c r="T91" s="64"/>
      <c r="U91" s="64"/>
      <c r="W91" s="64">
        <v>79710</v>
      </c>
    </row>
    <row r="92" spans="1:23" ht="12.75" customHeight="1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N92" s="267"/>
      <c r="O92" s="241"/>
      <c r="P92" s="249"/>
      <c r="Q92" s="24" t="s">
        <v>98</v>
      </c>
      <c r="R92" s="169">
        <f t="shared" si="25"/>
        <v>91252</v>
      </c>
      <c r="S92" s="64"/>
      <c r="T92" s="64"/>
      <c r="U92" s="64"/>
      <c r="W92" s="64">
        <v>91252</v>
      </c>
    </row>
    <row r="93" spans="1:12" ht="12.75" customHeight="1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</row>
    <row r="94" spans="1:18" ht="13.5" customHeight="1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</row>
    <row r="95" spans="1:18" ht="12.75" customHeight="1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</row>
    <row r="96" spans="1:18" ht="22.5" customHeight="1">
      <c r="A96" s="300" t="s">
        <v>229</v>
      </c>
      <c r="B96" s="300"/>
      <c r="C96" s="293"/>
      <c r="D96" s="293"/>
      <c r="E96" s="293"/>
      <c r="F96" s="293"/>
      <c r="G96" s="293"/>
      <c r="H96" s="293"/>
      <c r="I96" s="293"/>
      <c r="J96" s="293"/>
      <c r="K96" s="293"/>
      <c r="L96" s="293"/>
      <c r="M96" s="293"/>
      <c r="N96" s="293"/>
      <c r="O96" s="293"/>
      <c r="P96" s="293"/>
      <c r="Q96" s="293"/>
      <c r="R96" s="293"/>
    </row>
    <row r="97" spans="1:20" ht="12.75" customHeight="1">
      <c r="A97" s="282" t="s">
        <v>160</v>
      </c>
      <c r="B97" s="292"/>
      <c r="C97" s="251" t="s">
        <v>156</v>
      </c>
      <c r="D97" s="252"/>
      <c r="E97" s="252"/>
      <c r="F97" s="252"/>
      <c r="G97" s="252"/>
      <c r="H97" s="252"/>
      <c r="I97" s="252"/>
      <c r="J97" s="252"/>
      <c r="K97" s="252"/>
      <c r="L97" s="252"/>
      <c r="M97" s="252"/>
      <c r="N97" s="252"/>
      <c r="O97" s="252"/>
      <c r="P97" s="252"/>
      <c r="Q97" s="252"/>
      <c r="R97" s="253"/>
      <c r="S97" s="16"/>
      <c r="T97" s="16"/>
    </row>
    <row r="98" spans="1:20" ht="12.75" customHeight="1">
      <c r="A98" s="284"/>
      <c r="B98" s="286"/>
      <c r="C98" s="236" t="s">
        <v>0</v>
      </c>
      <c r="D98" s="236"/>
      <c r="E98" s="236"/>
      <c r="F98" s="236"/>
      <c r="G98" s="236"/>
      <c r="H98" s="236"/>
      <c r="I98" s="236"/>
      <c r="J98" s="236"/>
      <c r="K98" s="236"/>
      <c r="L98" s="236"/>
      <c r="M98" s="236"/>
      <c r="N98" s="236"/>
      <c r="O98" s="236"/>
      <c r="P98" s="236"/>
      <c r="Q98" s="236"/>
      <c r="R98" s="236"/>
      <c r="S98" s="14"/>
      <c r="T98" s="14"/>
    </row>
    <row r="99" spans="1:20" ht="36.75" customHeight="1">
      <c r="A99" s="284"/>
      <c r="B99" s="286"/>
      <c r="C99" s="250" t="s">
        <v>120</v>
      </c>
      <c r="D99" s="250" t="s">
        <v>121</v>
      </c>
      <c r="E99" s="250" t="s">
        <v>122</v>
      </c>
      <c r="F99" s="250" t="s">
        <v>123</v>
      </c>
      <c r="G99" s="250" t="s">
        <v>124</v>
      </c>
      <c r="H99" s="250" t="s">
        <v>125</v>
      </c>
      <c r="I99" s="250" t="s">
        <v>326</v>
      </c>
      <c r="J99" s="250" t="s">
        <v>126</v>
      </c>
      <c r="K99" s="250" t="s">
        <v>288</v>
      </c>
      <c r="L99" s="250"/>
      <c r="M99" s="250"/>
      <c r="N99" s="250" t="s">
        <v>8</v>
      </c>
      <c r="O99" s="250"/>
      <c r="P99" s="250"/>
      <c r="Q99" s="12" t="s">
        <v>225</v>
      </c>
      <c r="R99" s="12" t="s">
        <v>226</v>
      </c>
      <c r="S99" s="240" t="s">
        <v>378</v>
      </c>
      <c r="T99" s="240" t="s">
        <v>379</v>
      </c>
    </row>
    <row r="100" spans="1:20" ht="18.75" customHeight="1">
      <c r="A100" s="287"/>
      <c r="B100" s="288"/>
      <c r="C100" s="250"/>
      <c r="D100" s="250"/>
      <c r="E100" s="250"/>
      <c r="F100" s="250"/>
      <c r="G100" s="250"/>
      <c r="H100" s="250"/>
      <c r="I100" s="250"/>
      <c r="J100" s="250"/>
      <c r="K100" s="12" t="s">
        <v>278</v>
      </c>
      <c r="L100" s="12" t="s">
        <v>279</v>
      </c>
      <c r="M100" s="12" t="s">
        <v>280</v>
      </c>
      <c r="N100" s="12" t="s">
        <v>278</v>
      </c>
      <c r="O100" s="12" t="s">
        <v>279</v>
      </c>
      <c r="P100" s="12" t="s">
        <v>280</v>
      </c>
      <c r="Q100" s="12"/>
      <c r="R100" s="12"/>
      <c r="S100" s="241"/>
      <c r="T100" s="241"/>
    </row>
    <row r="101" spans="1:20" ht="12.75" customHeight="1" thickBot="1">
      <c r="A101" s="280" t="s">
        <v>17</v>
      </c>
      <c r="B101" s="281"/>
      <c r="C101" s="135" t="s">
        <v>18</v>
      </c>
      <c r="D101" s="135" t="s">
        <v>19</v>
      </c>
      <c r="E101" s="135" t="s">
        <v>19</v>
      </c>
      <c r="F101" s="135" t="s">
        <v>19</v>
      </c>
      <c r="G101" s="135" t="s">
        <v>18</v>
      </c>
      <c r="H101" s="135" t="s">
        <v>18</v>
      </c>
      <c r="I101" s="135" t="s">
        <v>18</v>
      </c>
      <c r="J101" s="135" t="s">
        <v>18</v>
      </c>
      <c r="K101" s="135" t="s">
        <v>18</v>
      </c>
      <c r="L101" s="135" t="s">
        <v>18</v>
      </c>
      <c r="M101" s="135" t="s">
        <v>18</v>
      </c>
      <c r="N101" s="135" t="s">
        <v>18</v>
      </c>
      <c r="O101" s="135" t="s">
        <v>18</v>
      </c>
      <c r="P101" s="135" t="s">
        <v>18</v>
      </c>
      <c r="Q101" s="135" t="s">
        <v>19</v>
      </c>
      <c r="R101" s="135" t="s">
        <v>19</v>
      </c>
      <c r="S101" s="135"/>
      <c r="T101" s="135"/>
    </row>
    <row r="102" spans="1:20" ht="12.75" customHeight="1" hidden="1">
      <c r="A102" s="125"/>
      <c r="B102" s="126" t="s">
        <v>23</v>
      </c>
      <c r="C102" s="56">
        <v>532</v>
      </c>
      <c r="D102" s="56">
        <v>404</v>
      </c>
      <c r="E102" s="56">
        <v>634</v>
      </c>
      <c r="F102" s="56">
        <v>459</v>
      </c>
      <c r="G102" s="56">
        <v>212</v>
      </c>
      <c r="H102" s="56">
        <v>239</v>
      </c>
      <c r="I102" s="56">
        <v>299</v>
      </c>
      <c r="J102" s="56">
        <v>256</v>
      </c>
      <c r="K102" s="56">
        <v>299</v>
      </c>
      <c r="L102" s="56">
        <v>299</v>
      </c>
      <c r="M102" s="56">
        <v>404</v>
      </c>
      <c r="N102" s="56">
        <v>404</v>
      </c>
      <c r="O102" s="56">
        <v>404</v>
      </c>
      <c r="P102" s="56">
        <v>532</v>
      </c>
      <c r="Q102" s="56">
        <v>201</v>
      </c>
      <c r="R102" s="56">
        <v>212</v>
      </c>
      <c r="S102" s="244">
        <v>670</v>
      </c>
      <c r="T102" s="244">
        <v>698</v>
      </c>
    </row>
    <row r="103" spans="1:20" ht="12.75" customHeight="1" hidden="1">
      <c r="A103" s="125"/>
      <c r="B103" s="126" t="s">
        <v>24</v>
      </c>
      <c r="C103" s="56">
        <v>451</v>
      </c>
      <c r="D103" s="56">
        <v>343</v>
      </c>
      <c r="E103" s="56">
        <v>537</v>
      </c>
      <c r="F103" s="56">
        <v>390</v>
      </c>
      <c r="G103" s="56">
        <v>182</v>
      </c>
      <c r="H103" s="56">
        <v>205</v>
      </c>
      <c r="I103" s="56">
        <v>255</v>
      </c>
      <c r="J103" s="56">
        <v>219</v>
      </c>
      <c r="K103" s="56">
        <v>255</v>
      </c>
      <c r="L103" s="56">
        <v>255</v>
      </c>
      <c r="M103" s="56">
        <v>343</v>
      </c>
      <c r="N103" s="56">
        <v>343</v>
      </c>
      <c r="O103" s="56">
        <v>343</v>
      </c>
      <c r="P103" s="56">
        <v>451</v>
      </c>
      <c r="Q103" s="56">
        <v>172</v>
      </c>
      <c r="R103" s="56">
        <v>182</v>
      </c>
      <c r="S103" s="245"/>
      <c r="T103" s="245"/>
    </row>
    <row r="104" spans="1:20" ht="12.75" customHeight="1" hidden="1">
      <c r="A104" s="125"/>
      <c r="B104" s="126" t="s">
        <v>26</v>
      </c>
      <c r="C104" s="56">
        <v>382</v>
      </c>
      <c r="D104" s="56">
        <v>292</v>
      </c>
      <c r="E104" s="56">
        <v>455</v>
      </c>
      <c r="F104" s="56">
        <v>331</v>
      </c>
      <c r="G104" s="56">
        <v>156</v>
      </c>
      <c r="H104" s="56">
        <v>175</v>
      </c>
      <c r="I104" s="56">
        <v>218</v>
      </c>
      <c r="J104" s="56">
        <v>187</v>
      </c>
      <c r="K104" s="56">
        <v>218</v>
      </c>
      <c r="L104" s="56">
        <v>218</v>
      </c>
      <c r="M104" s="56">
        <v>292</v>
      </c>
      <c r="N104" s="56">
        <v>292</v>
      </c>
      <c r="O104" s="56">
        <v>292</v>
      </c>
      <c r="P104" s="56">
        <v>382</v>
      </c>
      <c r="Q104" s="56">
        <v>148</v>
      </c>
      <c r="R104" s="56">
        <v>156</v>
      </c>
      <c r="S104" s="245"/>
      <c r="T104" s="245"/>
    </row>
    <row r="105" spans="1:20" ht="12.75" customHeight="1" hidden="1">
      <c r="A105" s="125"/>
      <c r="B105" s="15" t="s">
        <v>364</v>
      </c>
      <c r="C105" s="56">
        <v>321</v>
      </c>
      <c r="D105" s="56">
        <v>245</v>
      </c>
      <c r="E105" s="56">
        <v>381</v>
      </c>
      <c r="F105" s="56">
        <v>278</v>
      </c>
      <c r="G105" s="56">
        <v>133</v>
      </c>
      <c r="H105" s="56">
        <v>149</v>
      </c>
      <c r="I105" s="56">
        <v>184</v>
      </c>
      <c r="J105" s="56">
        <v>159</v>
      </c>
      <c r="K105" s="56">
        <v>184</v>
      </c>
      <c r="L105" s="56">
        <v>184</v>
      </c>
      <c r="M105" s="56">
        <v>245</v>
      </c>
      <c r="N105" s="56">
        <v>245</v>
      </c>
      <c r="O105" s="56">
        <v>245</v>
      </c>
      <c r="P105" s="56">
        <v>321</v>
      </c>
      <c r="Q105" s="56">
        <v>126</v>
      </c>
      <c r="R105" s="56">
        <v>133</v>
      </c>
      <c r="S105" s="245"/>
      <c r="T105" s="245"/>
    </row>
    <row r="106" spans="1:20" ht="12.75" customHeight="1" hidden="1">
      <c r="A106" s="125"/>
      <c r="B106" s="15" t="s">
        <v>365</v>
      </c>
      <c r="C106" s="56">
        <v>289</v>
      </c>
      <c r="D106" s="56">
        <v>222</v>
      </c>
      <c r="E106" s="56">
        <v>343</v>
      </c>
      <c r="F106" s="56">
        <v>251</v>
      </c>
      <c r="G106" s="56">
        <v>121</v>
      </c>
      <c r="H106" s="56">
        <v>135</v>
      </c>
      <c r="I106" s="56">
        <v>167</v>
      </c>
      <c r="J106" s="56">
        <v>144</v>
      </c>
      <c r="K106" s="56">
        <v>167</v>
      </c>
      <c r="L106" s="56">
        <v>167</v>
      </c>
      <c r="M106" s="56">
        <v>222</v>
      </c>
      <c r="N106" s="56">
        <v>222</v>
      </c>
      <c r="O106" s="56">
        <v>222</v>
      </c>
      <c r="P106" s="56">
        <v>289</v>
      </c>
      <c r="Q106" s="56">
        <v>115</v>
      </c>
      <c r="R106" s="56">
        <v>121</v>
      </c>
      <c r="S106" s="245"/>
      <c r="T106" s="245"/>
    </row>
    <row r="107" spans="1:20" ht="12.75" customHeight="1" hidden="1">
      <c r="A107" s="125"/>
      <c r="B107" s="126" t="s">
        <v>29</v>
      </c>
      <c r="C107" s="56">
        <v>426</v>
      </c>
      <c r="D107" s="56">
        <v>324</v>
      </c>
      <c r="E107" s="56">
        <v>507</v>
      </c>
      <c r="F107" s="56">
        <v>368</v>
      </c>
      <c r="G107" s="56">
        <v>172</v>
      </c>
      <c r="H107" s="56">
        <v>194</v>
      </c>
      <c r="I107" s="56">
        <v>241</v>
      </c>
      <c r="J107" s="56">
        <v>207</v>
      </c>
      <c r="K107" s="56">
        <v>241</v>
      </c>
      <c r="L107" s="56">
        <v>241</v>
      </c>
      <c r="M107" s="56">
        <v>324</v>
      </c>
      <c r="N107" s="56">
        <v>324</v>
      </c>
      <c r="O107" s="56">
        <v>324</v>
      </c>
      <c r="P107" s="56">
        <v>426</v>
      </c>
      <c r="Q107" s="56">
        <v>163</v>
      </c>
      <c r="R107" s="56">
        <v>172</v>
      </c>
      <c r="S107" s="245"/>
      <c r="T107" s="245"/>
    </row>
    <row r="108" spans="1:20" ht="12.75" customHeight="1" hidden="1">
      <c r="A108" s="125"/>
      <c r="B108" s="126" t="s">
        <v>30</v>
      </c>
      <c r="C108" s="56">
        <v>273</v>
      </c>
      <c r="D108" s="56">
        <v>210</v>
      </c>
      <c r="E108" s="56">
        <v>324</v>
      </c>
      <c r="F108" s="56">
        <v>237</v>
      </c>
      <c r="G108" s="56">
        <v>115</v>
      </c>
      <c r="H108" s="56">
        <v>128</v>
      </c>
      <c r="I108" s="56">
        <v>158</v>
      </c>
      <c r="J108" s="56">
        <v>137</v>
      </c>
      <c r="K108" s="56">
        <v>158</v>
      </c>
      <c r="L108" s="56">
        <v>158</v>
      </c>
      <c r="M108" s="56">
        <v>210</v>
      </c>
      <c r="N108" s="56">
        <v>210</v>
      </c>
      <c r="O108" s="56">
        <v>210</v>
      </c>
      <c r="P108" s="56">
        <v>273</v>
      </c>
      <c r="Q108" s="56">
        <v>109</v>
      </c>
      <c r="R108" s="56">
        <v>115</v>
      </c>
      <c r="S108" s="245"/>
      <c r="T108" s="245"/>
    </row>
    <row r="109" spans="1:20" ht="12.75" customHeight="1" hidden="1">
      <c r="A109" s="125"/>
      <c r="B109" s="126" t="s">
        <v>356</v>
      </c>
      <c r="C109" s="56">
        <v>421</v>
      </c>
      <c r="D109" s="56">
        <v>321</v>
      </c>
      <c r="E109" s="56">
        <v>501</v>
      </c>
      <c r="F109" s="56">
        <v>364</v>
      </c>
      <c r="G109" s="56">
        <v>170</v>
      </c>
      <c r="H109" s="56">
        <v>192</v>
      </c>
      <c r="I109" s="56">
        <v>239</v>
      </c>
      <c r="J109" s="56">
        <v>205</v>
      </c>
      <c r="K109" s="56">
        <v>239</v>
      </c>
      <c r="L109" s="56">
        <v>239</v>
      </c>
      <c r="M109" s="56">
        <v>321</v>
      </c>
      <c r="N109" s="56">
        <v>321</v>
      </c>
      <c r="O109" s="56">
        <v>321</v>
      </c>
      <c r="P109" s="56">
        <v>421</v>
      </c>
      <c r="Q109" s="56">
        <v>161</v>
      </c>
      <c r="R109" s="56">
        <v>170</v>
      </c>
      <c r="S109" s="245"/>
      <c r="T109" s="245"/>
    </row>
    <row r="110" spans="1:20" ht="12.75" customHeight="1" hidden="1">
      <c r="A110" s="125"/>
      <c r="B110" s="15" t="s">
        <v>357</v>
      </c>
      <c r="C110" s="56">
        <v>331</v>
      </c>
      <c r="D110" s="56">
        <v>253</v>
      </c>
      <c r="E110" s="56">
        <v>393</v>
      </c>
      <c r="F110" s="56">
        <v>287</v>
      </c>
      <c r="G110" s="56">
        <v>137</v>
      </c>
      <c r="H110" s="56">
        <v>153</v>
      </c>
      <c r="I110" s="56">
        <v>190</v>
      </c>
      <c r="J110" s="56">
        <v>164</v>
      </c>
      <c r="K110" s="56">
        <v>190</v>
      </c>
      <c r="L110" s="56">
        <v>190</v>
      </c>
      <c r="M110" s="56">
        <v>253</v>
      </c>
      <c r="N110" s="56">
        <v>253</v>
      </c>
      <c r="O110" s="56">
        <v>253</v>
      </c>
      <c r="P110" s="56">
        <v>331</v>
      </c>
      <c r="Q110" s="56">
        <v>130</v>
      </c>
      <c r="R110" s="56">
        <v>137</v>
      </c>
      <c r="S110" s="245"/>
      <c r="T110" s="245"/>
    </row>
    <row r="111" spans="1:20" ht="12.75" customHeight="1" hidden="1">
      <c r="A111" s="125"/>
      <c r="B111" s="126" t="s">
        <v>32</v>
      </c>
      <c r="C111" s="56">
        <v>263</v>
      </c>
      <c r="D111" s="56">
        <v>202</v>
      </c>
      <c r="E111" s="56">
        <v>311</v>
      </c>
      <c r="F111" s="56">
        <v>228</v>
      </c>
      <c r="G111" s="56">
        <v>111</v>
      </c>
      <c r="H111" s="56">
        <v>124</v>
      </c>
      <c r="I111" s="56">
        <v>152</v>
      </c>
      <c r="J111" s="56">
        <v>132</v>
      </c>
      <c r="K111" s="56">
        <v>152</v>
      </c>
      <c r="L111" s="56">
        <v>152</v>
      </c>
      <c r="M111" s="56">
        <v>202</v>
      </c>
      <c r="N111" s="56">
        <v>202</v>
      </c>
      <c r="O111" s="56">
        <v>202</v>
      </c>
      <c r="P111" s="56">
        <v>263</v>
      </c>
      <c r="Q111" s="56">
        <v>106</v>
      </c>
      <c r="R111" s="56">
        <v>111</v>
      </c>
      <c r="S111" s="245"/>
      <c r="T111" s="245"/>
    </row>
    <row r="112" spans="1:20" ht="12.75" customHeight="1" hidden="1">
      <c r="A112" s="125"/>
      <c r="B112" s="177" t="s">
        <v>347</v>
      </c>
      <c r="C112" s="56">
        <v>318</v>
      </c>
      <c r="D112" s="56">
        <v>244</v>
      </c>
      <c r="E112" s="56">
        <v>378</v>
      </c>
      <c r="F112" s="56">
        <v>276</v>
      </c>
      <c r="G112" s="56">
        <v>132</v>
      </c>
      <c r="H112" s="56">
        <v>148</v>
      </c>
      <c r="I112" s="56">
        <v>183</v>
      </c>
      <c r="J112" s="56">
        <v>158</v>
      </c>
      <c r="K112" s="56">
        <v>183</v>
      </c>
      <c r="L112" s="56">
        <v>183</v>
      </c>
      <c r="M112" s="56">
        <v>244</v>
      </c>
      <c r="N112" s="56">
        <v>244</v>
      </c>
      <c r="O112" s="56">
        <v>244</v>
      </c>
      <c r="P112" s="56">
        <v>318</v>
      </c>
      <c r="Q112" s="56">
        <v>125</v>
      </c>
      <c r="R112" s="56">
        <v>132</v>
      </c>
      <c r="S112" s="245"/>
      <c r="T112" s="245"/>
    </row>
    <row r="113" spans="1:20" ht="12.75" customHeight="1" hidden="1">
      <c r="A113" s="125"/>
      <c r="B113" s="126" t="s">
        <v>342</v>
      </c>
      <c r="C113" s="56">
        <v>306</v>
      </c>
      <c r="D113" s="56">
        <v>234</v>
      </c>
      <c r="E113" s="56">
        <v>363</v>
      </c>
      <c r="F113" s="56">
        <v>265</v>
      </c>
      <c r="G113" s="56">
        <v>127</v>
      </c>
      <c r="H113" s="56">
        <v>142</v>
      </c>
      <c r="I113" s="56">
        <v>176</v>
      </c>
      <c r="J113" s="56">
        <v>152</v>
      </c>
      <c r="K113" s="56">
        <v>176</v>
      </c>
      <c r="L113" s="56">
        <v>176</v>
      </c>
      <c r="M113" s="56">
        <v>234</v>
      </c>
      <c r="N113" s="56">
        <v>234</v>
      </c>
      <c r="O113" s="56">
        <v>234</v>
      </c>
      <c r="P113" s="56">
        <v>306</v>
      </c>
      <c r="Q113" s="56">
        <v>121</v>
      </c>
      <c r="R113" s="56">
        <v>127</v>
      </c>
      <c r="S113" s="245"/>
      <c r="T113" s="245"/>
    </row>
    <row r="114" spans="1:20" ht="12.75" customHeight="1" hidden="1">
      <c r="A114" s="125"/>
      <c r="B114" s="126" t="s">
        <v>33</v>
      </c>
      <c r="C114" s="56">
        <v>254</v>
      </c>
      <c r="D114" s="56">
        <v>195</v>
      </c>
      <c r="E114" s="56">
        <v>300</v>
      </c>
      <c r="F114" s="56">
        <v>220</v>
      </c>
      <c r="G114" s="56">
        <v>108</v>
      </c>
      <c r="H114" s="56">
        <v>120</v>
      </c>
      <c r="I114" s="56">
        <v>147</v>
      </c>
      <c r="J114" s="56">
        <v>128</v>
      </c>
      <c r="K114" s="56">
        <v>147</v>
      </c>
      <c r="L114" s="56">
        <v>147</v>
      </c>
      <c r="M114" s="56">
        <v>195</v>
      </c>
      <c r="N114" s="56">
        <v>195</v>
      </c>
      <c r="O114" s="56">
        <v>195</v>
      </c>
      <c r="P114" s="56">
        <v>254</v>
      </c>
      <c r="Q114" s="56">
        <v>102</v>
      </c>
      <c r="R114" s="56">
        <v>108</v>
      </c>
      <c r="S114" s="245"/>
      <c r="T114" s="245"/>
    </row>
    <row r="115" spans="1:20" ht="12.75" customHeight="1" hidden="1">
      <c r="A115" s="125"/>
      <c r="B115" s="126" t="s">
        <v>142</v>
      </c>
      <c r="C115" s="56">
        <v>892</v>
      </c>
      <c r="D115" s="56">
        <v>674</v>
      </c>
      <c r="E115" s="56">
        <v>1067</v>
      </c>
      <c r="F115" s="56">
        <v>768</v>
      </c>
      <c r="G115" s="56">
        <v>347</v>
      </c>
      <c r="H115" s="56">
        <v>394</v>
      </c>
      <c r="I115" s="56">
        <v>496</v>
      </c>
      <c r="J115" s="56">
        <v>423</v>
      </c>
      <c r="K115" s="56">
        <v>496</v>
      </c>
      <c r="L115" s="56">
        <v>496</v>
      </c>
      <c r="M115" s="56">
        <v>674</v>
      </c>
      <c r="N115" s="56">
        <v>674</v>
      </c>
      <c r="O115" s="56">
        <v>674</v>
      </c>
      <c r="P115" s="56">
        <v>892</v>
      </c>
      <c r="Q115" s="56">
        <v>328</v>
      </c>
      <c r="R115" s="56">
        <v>347</v>
      </c>
      <c r="S115" s="245"/>
      <c r="T115" s="245"/>
    </row>
    <row r="116" spans="1:20" ht="12.75" customHeight="1" hidden="1">
      <c r="A116" s="125"/>
      <c r="B116" s="126" t="s">
        <v>38</v>
      </c>
      <c r="C116" s="56">
        <v>892</v>
      </c>
      <c r="D116" s="56">
        <v>674</v>
      </c>
      <c r="E116" s="56">
        <v>1067</v>
      </c>
      <c r="F116" s="56">
        <v>768</v>
      </c>
      <c r="G116" s="56">
        <v>347</v>
      </c>
      <c r="H116" s="56">
        <v>394</v>
      </c>
      <c r="I116" s="56">
        <v>496</v>
      </c>
      <c r="J116" s="56">
        <v>423</v>
      </c>
      <c r="K116" s="56">
        <v>496</v>
      </c>
      <c r="L116" s="56">
        <v>496</v>
      </c>
      <c r="M116" s="56">
        <v>674</v>
      </c>
      <c r="N116" s="56">
        <v>674</v>
      </c>
      <c r="O116" s="56">
        <v>674</v>
      </c>
      <c r="P116" s="56">
        <v>892</v>
      </c>
      <c r="Q116" s="56">
        <v>328</v>
      </c>
      <c r="R116" s="56">
        <v>347</v>
      </c>
      <c r="S116" s="245"/>
      <c r="T116" s="245"/>
    </row>
    <row r="117" spans="1:20" ht="12.75" customHeight="1" hidden="1">
      <c r="A117" s="125"/>
      <c r="B117" s="126" t="s">
        <v>130</v>
      </c>
      <c r="C117" s="56">
        <v>421</v>
      </c>
      <c r="D117" s="56">
        <v>321</v>
      </c>
      <c r="E117" s="56">
        <v>501</v>
      </c>
      <c r="F117" s="56">
        <v>364</v>
      </c>
      <c r="G117" s="56">
        <v>170</v>
      </c>
      <c r="H117" s="56">
        <v>192</v>
      </c>
      <c r="I117" s="56">
        <v>239</v>
      </c>
      <c r="J117" s="56">
        <v>205</v>
      </c>
      <c r="K117" s="56">
        <v>239</v>
      </c>
      <c r="L117" s="56">
        <v>239</v>
      </c>
      <c r="M117" s="56">
        <v>321</v>
      </c>
      <c r="N117" s="56">
        <v>321</v>
      </c>
      <c r="O117" s="56">
        <v>321</v>
      </c>
      <c r="P117" s="56">
        <v>421</v>
      </c>
      <c r="Q117" s="56">
        <v>161</v>
      </c>
      <c r="R117" s="56">
        <v>170</v>
      </c>
      <c r="S117" s="245"/>
      <c r="T117" s="245"/>
    </row>
    <row r="118" spans="1:20" ht="12.75" customHeight="1" hidden="1">
      <c r="A118" s="125"/>
      <c r="B118" s="126" t="s">
        <v>355</v>
      </c>
      <c r="C118" s="56">
        <v>401</v>
      </c>
      <c r="D118" s="56">
        <v>305</v>
      </c>
      <c r="E118" s="56">
        <v>477</v>
      </c>
      <c r="F118" s="56">
        <v>346</v>
      </c>
      <c r="G118" s="56">
        <v>163</v>
      </c>
      <c r="H118" s="56">
        <v>183</v>
      </c>
      <c r="I118" s="56">
        <v>228</v>
      </c>
      <c r="J118" s="56">
        <v>196</v>
      </c>
      <c r="K118" s="56">
        <v>228</v>
      </c>
      <c r="L118" s="56">
        <v>228</v>
      </c>
      <c r="M118" s="56">
        <v>305</v>
      </c>
      <c r="N118" s="56">
        <v>305</v>
      </c>
      <c r="O118" s="56">
        <v>305</v>
      </c>
      <c r="P118" s="56">
        <v>401</v>
      </c>
      <c r="Q118" s="56">
        <v>154</v>
      </c>
      <c r="R118" s="56">
        <v>163</v>
      </c>
      <c r="S118" s="245"/>
      <c r="T118" s="245"/>
    </row>
    <row r="119" spans="1:20" ht="12.75" customHeight="1" hidden="1">
      <c r="A119" s="125"/>
      <c r="B119" s="126" t="s">
        <v>41</v>
      </c>
      <c r="C119" s="56">
        <v>380</v>
      </c>
      <c r="D119" s="56">
        <v>290</v>
      </c>
      <c r="E119" s="56">
        <v>452</v>
      </c>
      <c r="F119" s="56">
        <v>328</v>
      </c>
      <c r="G119" s="56">
        <v>155</v>
      </c>
      <c r="H119" s="56">
        <v>174</v>
      </c>
      <c r="I119" s="56">
        <v>216</v>
      </c>
      <c r="J119" s="56">
        <v>186</v>
      </c>
      <c r="K119" s="56">
        <v>216</v>
      </c>
      <c r="L119" s="56">
        <v>216</v>
      </c>
      <c r="M119" s="56">
        <v>290</v>
      </c>
      <c r="N119" s="56">
        <v>290</v>
      </c>
      <c r="O119" s="56">
        <v>290</v>
      </c>
      <c r="P119" s="56">
        <v>380</v>
      </c>
      <c r="Q119" s="56">
        <v>147</v>
      </c>
      <c r="R119" s="56">
        <v>155</v>
      </c>
      <c r="S119" s="245"/>
      <c r="T119" s="245"/>
    </row>
    <row r="120" spans="1:20" ht="12.75" customHeight="1" hidden="1">
      <c r="A120" s="125"/>
      <c r="B120" s="126" t="s">
        <v>354</v>
      </c>
      <c r="C120" s="56">
        <v>341</v>
      </c>
      <c r="D120" s="56">
        <v>261</v>
      </c>
      <c r="E120" s="56">
        <v>405</v>
      </c>
      <c r="F120" s="56">
        <v>295</v>
      </c>
      <c r="G120" s="56">
        <v>140</v>
      </c>
      <c r="H120" s="56">
        <v>157</v>
      </c>
      <c r="I120" s="56">
        <v>195</v>
      </c>
      <c r="J120" s="56">
        <v>168</v>
      </c>
      <c r="K120" s="56">
        <v>195</v>
      </c>
      <c r="L120" s="56">
        <v>195</v>
      </c>
      <c r="M120" s="56">
        <v>261</v>
      </c>
      <c r="N120" s="56">
        <v>261</v>
      </c>
      <c r="O120" s="56">
        <v>261</v>
      </c>
      <c r="P120" s="56">
        <v>341</v>
      </c>
      <c r="Q120" s="56">
        <v>133</v>
      </c>
      <c r="R120" s="56">
        <v>140</v>
      </c>
      <c r="S120" s="245"/>
      <c r="T120" s="245"/>
    </row>
    <row r="121" spans="1:20" ht="12.75" customHeight="1" hidden="1">
      <c r="A121" s="125"/>
      <c r="B121" s="126" t="s">
        <v>44</v>
      </c>
      <c r="C121" s="56">
        <v>310</v>
      </c>
      <c r="D121" s="56">
        <v>238</v>
      </c>
      <c r="E121" s="56">
        <v>368</v>
      </c>
      <c r="F121" s="56">
        <v>269</v>
      </c>
      <c r="G121" s="56">
        <v>129</v>
      </c>
      <c r="H121" s="56">
        <v>144</v>
      </c>
      <c r="I121" s="56">
        <v>178</v>
      </c>
      <c r="J121" s="56">
        <v>154</v>
      </c>
      <c r="K121" s="56">
        <v>178</v>
      </c>
      <c r="L121" s="56">
        <v>178</v>
      </c>
      <c r="M121" s="56">
        <v>238</v>
      </c>
      <c r="N121" s="56">
        <v>238</v>
      </c>
      <c r="O121" s="56">
        <v>238</v>
      </c>
      <c r="P121" s="56">
        <v>310</v>
      </c>
      <c r="Q121" s="56">
        <v>122</v>
      </c>
      <c r="R121" s="56">
        <v>129</v>
      </c>
      <c r="S121" s="245"/>
      <c r="T121" s="245"/>
    </row>
    <row r="122" spans="1:20" ht="12.75" customHeight="1" hidden="1">
      <c r="A122" s="125"/>
      <c r="B122" s="126" t="s">
        <v>358</v>
      </c>
      <c r="C122" s="56">
        <v>304</v>
      </c>
      <c r="D122" s="56">
        <v>233</v>
      </c>
      <c r="E122" s="56">
        <v>361</v>
      </c>
      <c r="F122" s="56">
        <v>264</v>
      </c>
      <c r="G122" s="56">
        <v>127</v>
      </c>
      <c r="H122" s="56">
        <v>142</v>
      </c>
      <c r="I122" s="56">
        <v>175</v>
      </c>
      <c r="J122" s="56">
        <v>151</v>
      </c>
      <c r="K122" s="56">
        <v>175</v>
      </c>
      <c r="L122" s="56">
        <v>175</v>
      </c>
      <c r="M122" s="56">
        <v>233</v>
      </c>
      <c r="N122" s="56">
        <v>233</v>
      </c>
      <c r="O122" s="56">
        <v>233</v>
      </c>
      <c r="P122" s="56">
        <v>304</v>
      </c>
      <c r="Q122" s="56">
        <v>120</v>
      </c>
      <c r="R122" s="56">
        <v>127</v>
      </c>
      <c r="S122" s="245"/>
      <c r="T122" s="245"/>
    </row>
    <row r="123" spans="1:20" ht="12.75" customHeight="1" hidden="1">
      <c r="A123" s="125"/>
      <c r="B123" s="126" t="s">
        <v>141</v>
      </c>
      <c r="C123" s="56">
        <v>297</v>
      </c>
      <c r="D123" s="56">
        <v>228</v>
      </c>
      <c r="E123" s="56">
        <v>352</v>
      </c>
      <c r="F123" s="56">
        <v>257</v>
      </c>
      <c r="G123" s="56">
        <v>124</v>
      </c>
      <c r="H123" s="56">
        <v>139</v>
      </c>
      <c r="I123" s="56">
        <v>171</v>
      </c>
      <c r="J123" s="56">
        <v>148</v>
      </c>
      <c r="K123" s="56">
        <v>171</v>
      </c>
      <c r="L123" s="56">
        <v>171</v>
      </c>
      <c r="M123" s="56">
        <v>228</v>
      </c>
      <c r="N123" s="56">
        <v>228</v>
      </c>
      <c r="O123" s="56">
        <v>228</v>
      </c>
      <c r="P123" s="56">
        <v>297</v>
      </c>
      <c r="Q123" s="56">
        <v>118</v>
      </c>
      <c r="R123" s="56">
        <v>124</v>
      </c>
      <c r="S123" s="245"/>
      <c r="T123" s="245"/>
    </row>
    <row r="124" spans="1:20" ht="12.75" customHeight="1" hidden="1">
      <c r="A124" s="125"/>
      <c r="B124" s="126" t="s">
        <v>48</v>
      </c>
      <c r="C124" s="56">
        <v>254</v>
      </c>
      <c r="D124" s="56">
        <v>196</v>
      </c>
      <c r="E124" s="56">
        <v>301</v>
      </c>
      <c r="F124" s="56">
        <v>221</v>
      </c>
      <c r="G124" s="56">
        <v>108</v>
      </c>
      <c r="H124" s="56">
        <v>120</v>
      </c>
      <c r="I124" s="56">
        <v>148</v>
      </c>
      <c r="J124" s="56">
        <v>128</v>
      </c>
      <c r="K124" s="56">
        <v>148</v>
      </c>
      <c r="L124" s="56">
        <v>148</v>
      </c>
      <c r="M124" s="56">
        <v>196</v>
      </c>
      <c r="N124" s="56">
        <v>196</v>
      </c>
      <c r="O124" s="56">
        <v>196</v>
      </c>
      <c r="P124" s="56">
        <v>254</v>
      </c>
      <c r="Q124" s="56">
        <v>103</v>
      </c>
      <c r="R124" s="56">
        <v>108</v>
      </c>
      <c r="S124" s="245"/>
      <c r="T124" s="245"/>
    </row>
    <row r="125" spans="1:20" ht="12.75" customHeight="1" hidden="1">
      <c r="A125" s="125"/>
      <c r="B125" s="126" t="s">
        <v>50</v>
      </c>
      <c r="C125" s="56" t="s">
        <v>28</v>
      </c>
      <c r="D125" s="56" t="s">
        <v>28</v>
      </c>
      <c r="E125" s="56" t="s">
        <v>28</v>
      </c>
      <c r="F125" s="56" t="s">
        <v>28</v>
      </c>
      <c r="G125" s="56" t="s">
        <v>28</v>
      </c>
      <c r="H125" s="56" t="s">
        <v>28</v>
      </c>
      <c r="I125" s="56" t="s">
        <v>28</v>
      </c>
      <c r="J125" s="56" t="s">
        <v>28</v>
      </c>
      <c r="K125" s="56" t="s">
        <v>28</v>
      </c>
      <c r="L125" s="56" t="s">
        <v>28</v>
      </c>
      <c r="M125" s="56" t="s">
        <v>28</v>
      </c>
      <c r="N125" s="56" t="s">
        <v>28</v>
      </c>
      <c r="O125" s="56" t="s">
        <v>28</v>
      </c>
      <c r="P125" s="56" t="s">
        <v>28</v>
      </c>
      <c r="Q125" s="56" t="s">
        <v>28</v>
      </c>
      <c r="R125" s="56" t="s">
        <v>28</v>
      </c>
      <c r="S125" s="245"/>
      <c r="T125" s="245"/>
    </row>
    <row r="126" spans="1:20" ht="12.75" customHeight="1" hidden="1">
      <c r="A126" s="125"/>
      <c r="B126" s="126" t="s">
        <v>52</v>
      </c>
      <c r="C126" s="56" t="s">
        <v>28</v>
      </c>
      <c r="D126" s="56" t="s">
        <v>28</v>
      </c>
      <c r="E126" s="56" t="s">
        <v>28</v>
      </c>
      <c r="F126" s="56" t="s">
        <v>28</v>
      </c>
      <c r="G126" s="56">
        <v>141</v>
      </c>
      <c r="H126" s="56">
        <v>158</v>
      </c>
      <c r="I126" s="56">
        <v>196</v>
      </c>
      <c r="J126" s="56">
        <v>169</v>
      </c>
      <c r="K126" s="56">
        <v>196</v>
      </c>
      <c r="L126" s="56">
        <v>196</v>
      </c>
      <c r="M126" s="56">
        <v>261</v>
      </c>
      <c r="N126" s="56">
        <v>261</v>
      </c>
      <c r="O126" s="56">
        <v>261</v>
      </c>
      <c r="P126" s="56">
        <v>342</v>
      </c>
      <c r="Q126" s="56">
        <v>134</v>
      </c>
      <c r="R126" s="56">
        <v>141</v>
      </c>
      <c r="S126" s="245"/>
      <c r="T126" s="245"/>
    </row>
    <row r="127" spans="1:20" ht="12.75" customHeight="1" hidden="1">
      <c r="A127" s="125"/>
      <c r="B127" s="126" t="s">
        <v>54</v>
      </c>
      <c r="C127" s="56">
        <v>232</v>
      </c>
      <c r="D127" s="56">
        <v>179</v>
      </c>
      <c r="E127" s="56">
        <v>275</v>
      </c>
      <c r="F127" s="56">
        <v>202</v>
      </c>
      <c r="G127" s="56">
        <v>100</v>
      </c>
      <c r="H127" s="56">
        <v>111</v>
      </c>
      <c r="I127" s="56">
        <v>136</v>
      </c>
      <c r="J127" s="56">
        <v>118</v>
      </c>
      <c r="K127" s="56">
        <v>136</v>
      </c>
      <c r="L127" s="56">
        <v>136</v>
      </c>
      <c r="M127" s="56">
        <v>179</v>
      </c>
      <c r="N127" s="56">
        <v>179</v>
      </c>
      <c r="O127" s="56">
        <v>179</v>
      </c>
      <c r="P127" s="56">
        <v>232</v>
      </c>
      <c r="Q127" s="56">
        <v>95</v>
      </c>
      <c r="R127" s="56">
        <v>100</v>
      </c>
      <c r="S127" s="245"/>
      <c r="T127" s="245"/>
    </row>
    <row r="128" spans="1:20" ht="12.75" customHeight="1" hidden="1">
      <c r="A128" s="125"/>
      <c r="B128" s="126" t="s">
        <v>57</v>
      </c>
      <c r="C128" s="56">
        <v>213</v>
      </c>
      <c r="D128" s="56">
        <v>165</v>
      </c>
      <c r="E128" s="56">
        <v>252</v>
      </c>
      <c r="F128" s="56">
        <v>186</v>
      </c>
      <c r="G128" s="56">
        <v>92</v>
      </c>
      <c r="H128" s="56">
        <v>103</v>
      </c>
      <c r="I128" s="56">
        <v>125</v>
      </c>
      <c r="J128" s="56">
        <v>109</v>
      </c>
      <c r="K128" s="56">
        <v>125</v>
      </c>
      <c r="L128" s="56">
        <v>125</v>
      </c>
      <c r="M128" s="56">
        <v>165</v>
      </c>
      <c r="N128" s="56">
        <v>165</v>
      </c>
      <c r="O128" s="56">
        <v>165</v>
      </c>
      <c r="P128" s="56">
        <v>213</v>
      </c>
      <c r="Q128" s="56">
        <v>88</v>
      </c>
      <c r="R128" s="56">
        <v>92</v>
      </c>
      <c r="S128" s="245"/>
      <c r="T128" s="245"/>
    </row>
    <row r="129" spans="1:20" ht="12.75" customHeight="1" hidden="1" thickBot="1">
      <c r="A129" s="127"/>
      <c r="B129" s="128" t="s">
        <v>59</v>
      </c>
      <c r="C129" s="58">
        <v>245</v>
      </c>
      <c r="D129" s="58">
        <v>189</v>
      </c>
      <c r="E129" s="58">
        <v>291</v>
      </c>
      <c r="F129" s="58">
        <v>213</v>
      </c>
      <c r="G129" s="58">
        <v>105</v>
      </c>
      <c r="H129" s="58">
        <v>117</v>
      </c>
      <c r="I129" s="58">
        <v>143</v>
      </c>
      <c r="J129" s="58">
        <v>124</v>
      </c>
      <c r="K129" s="58">
        <v>143</v>
      </c>
      <c r="L129" s="58">
        <v>143</v>
      </c>
      <c r="M129" s="58">
        <v>189</v>
      </c>
      <c r="N129" s="58">
        <v>189</v>
      </c>
      <c r="O129" s="58">
        <v>189</v>
      </c>
      <c r="P129" s="58">
        <v>245</v>
      </c>
      <c r="Q129" s="58">
        <v>100</v>
      </c>
      <c r="R129" s="58">
        <v>105</v>
      </c>
      <c r="S129" s="246"/>
      <c r="T129" s="246"/>
    </row>
    <row r="130" spans="1:20" ht="12.75">
      <c r="A130" s="275" t="s">
        <v>22</v>
      </c>
      <c r="B130" s="54" t="s">
        <v>23</v>
      </c>
      <c r="C130" s="174">
        <f aca="true" t="shared" si="26" ref="C130:T130">ROUND(C102*(1-$B$361),2)</f>
        <v>532</v>
      </c>
      <c r="D130" s="174">
        <f t="shared" si="26"/>
        <v>404</v>
      </c>
      <c r="E130" s="174">
        <f t="shared" si="26"/>
        <v>634</v>
      </c>
      <c r="F130" s="174">
        <f t="shared" si="26"/>
        <v>459</v>
      </c>
      <c r="G130" s="174">
        <f t="shared" si="26"/>
        <v>212</v>
      </c>
      <c r="H130" s="174">
        <f t="shared" si="26"/>
        <v>239</v>
      </c>
      <c r="I130" s="174">
        <f t="shared" si="26"/>
        <v>299</v>
      </c>
      <c r="J130" s="174">
        <f t="shared" si="26"/>
        <v>256</v>
      </c>
      <c r="K130" s="174">
        <f t="shared" si="26"/>
        <v>299</v>
      </c>
      <c r="L130" s="174">
        <f t="shared" si="26"/>
        <v>299</v>
      </c>
      <c r="M130" s="174">
        <f t="shared" si="26"/>
        <v>404</v>
      </c>
      <c r="N130" s="174">
        <f t="shared" si="26"/>
        <v>404</v>
      </c>
      <c r="O130" s="174">
        <f t="shared" si="26"/>
        <v>404</v>
      </c>
      <c r="P130" s="174">
        <f t="shared" si="26"/>
        <v>532</v>
      </c>
      <c r="Q130" s="174">
        <f t="shared" si="26"/>
        <v>201</v>
      </c>
      <c r="R130" s="174">
        <f t="shared" si="26"/>
        <v>212</v>
      </c>
      <c r="S130" s="242">
        <f t="shared" si="26"/>
        <v>670</v>
      </c>
      <c r="T130" s="242">
        <f t="shared" si="26"/>
        <v>698</v>
      </c>
    </row>
    <row r="131" spans="1:20" ht="12.75">
      <c r="A131" s="276"/>
      <c r="B131" s="15" t="s">
        <v>24</v>
      </c>
      <c r="C131" s="12">
        <f aca="true" t="shared" si="27" ref="C131:R131">ROUND(C103*(1-$B$361),2)</f>
        <v>451</v>
      </c>
      <c r="D131" s="12">
        <f t="shared" si="27"/>
        <v>343</v>
      </c>
      <c r="E131" s="12">
        <f t="shared" si="27"/>
        <v>537</v>
      </c>
      <c r="F131" s="12">
        <f t="shared" si="27"/>
        <v>390</v>
      </c>
      <c r="G131" s="12">
        <f t="shared" si="27"/>
        <v>182</v>
      </c>
      <c r="H131" s="12">
        <f t="shared" si="27"/>
        <v>205</v>
      </c>
      <c r="I131" s="12">
        <f t="shared" si="27"/>
        <v>255</v>
      </c>
      <c r="J131" s="12">
        <f t="shared" si="27"/>
        <v>219</v>
      </c>
      <c r="K131" s="12">
        <f t="shared" si="27"/>
        <v>255</v>
      </c>
      <c r="L131" s="12">
        <f t="shared" si="27"/>
        <v>255</v>
      </c>
      <c r="M131" s="12">
        <f t="shared" si="27"/>
        <v>343</v>
      </c>
      <c r="N131" s="12">
        <f t="shared" si="27"/>
        <v>343</v>
      </c>
      <c r="O131" s="12">
        <f t="shared" si="27"/>
        <v>343</v>
      </c>
      <c r="P131" s="12">
        <f t="shared" si="27"/>
        <v>451</v>
      </c>
      <c r="Q131" s="12">
        <f t="shared" si="27"/>
        <v>172</v>
      </c>
      <c r="R131" s="12">
        <f t="shared" si="27"/>
        <v>182</v>
      </c>
      <c r="S131" s="243"/>
      <c r="T131" s="243"/>
    </row>
    <row r="132" spans="1:20" ht="12.75" customHeight="1">
      <c r="A132" s="276"/>
      <c r="B132" s="15" t="s">
        <v>26</v>
      </c>
      <c r="C132" s="12">
        <f aca="true" t="shared" si="28" ref="C132:R132">ROUND(C104*(1-$B$361),2)</f>
        <v>382</v>
      </c>
      <c r="D132" s="12">
        <f t="shared" si="28"/>
        <v>292</v>
      </c>
      <c r="E132" s="12">
        <f t="shared" si="28"/>
        <v>455</v>
      </c>
      <c r="F132" s="12">
        <f t="shared" si="28"/>
        <v>331</v>
      </c>
      <c r="G132" s="12">
        <f t="shared" si="28"/>
        <v>156</v>
      </c>
      <c r="H132" s="12">
        <f t="shared" si="28"/>
        <v>175</v>
      </c>
      <c r="I132" s="12">
        <f t="shared" si="28"/>
        <v>218</v>
      </c>
      <c r="J132" s="12">
        <f t="shared" si="28"/>
        <v>187</v>
      </c>
      <c r="K132" s="12">
        <f t="shared" si="28"/>
        <v>218</v>
      </c>
      <c r="L132" s="12">
        <f t="shared" si="28"/>
        <v>218</v>
      </c>
      <c r="M132" s="12">
        <f t="shared" si="28"/>
        <v>292</v>
      </c>
      <c r="N132" s="12">
        <f t="shared" si="28"/>
        <v>292</v>
      </c>
      <c r="O132" s="12">
        <f t="shared" si="28"/>
        <v>292</v>
      </c>
      <c r="P132" s="12">
        <f t="shared" si="28"/>
        <v>382</v>
      </c>
      <c r="Q132" s="12">
        <f t="shared" si="28"/>
        <v>148</v>
      </c>
      <c r="R132" s="12">
        <f t="shared" si="28"/>
        <v>156</v>
      </c>
      <c r="S132" s="243"/>
      <c r="T132" s="243"/>
    </row>
    <row r="133" spans="1:20" ht="12.75">
      <c r="A133" s="276"/>
      <c r="B133" s="15" t="s">
        <v>364</v>
      </c>
      <c r="C133" s="12">
        <f aca="true" t="shared" si="29" ref="C133:R133">ROUND(C105*(1-$B$361),2)</f>
        <v>321</v>
      </c>
      <c r="D133" s="12">
        <f t="shared" si="29"/>
        <v>245</v>
      </c>
      <c r="E133" s="12">
        <f t="shared" si="29"/>
        <v>381</v>
      </c>
      <c r="F133" s="12">
        <f t="shared" si="29"/>
        <v>278</v>
      </c>
      <c r="G133" s="12">
        <f t="shared" si="29"/>
        <v>133</v>
      </c>
      <c r="H133" s="12">
        <f t="shared" si="29"/>
        <v>149</v>
      </c>
      <c r="I133" s="12">
        <f t="shared" si="29"/>
        <v>184</v>
      </c>
      <c r="J133" s="12">
        <f t="shared" si="29"/>
        <v>159</v>
      </c>
      <c r="K133" s="12">
        <f t="shared" si="29"/>
        <v>184</v>
      </c>
      <c r="L133" s="12">
        <f t="shared" si="29"/>
        <v>184</v>
      </c>
      <c r="M133" s="12">
        <f t="shared" si="29"/>
        <v>245</v>
      </c>
      <c r="N133" s="12">
        <f t="shared" si="29"/>
        <v>245</v>
      </c>
      <c r="O133" s="12">
        <f t="shared" si="29"/>
        <v>245</v>
      </c>
      <c r="P133" s="12">
        <f t="shared" si="29"/>
        <v>321</v>
      </c>
      <c r="Q133" s="12">
        <f t="shared" si="29"/>
        <v>126</v>
      </c>
      <c r="R133" s="12">
        <f t="shared" si="29"/>
        <v>133</v>
      </c>
      <c r="S133" s="243"/>
      <c r="T133" s="243"/>
    </row>
    <row r="134" spans="1:20" ht="12.75">
      <c r="A134" s="276"/>
      <c r="B134" s="15" t="s">
        <v>365</v>
      </c>
      <c r="C134" s="12">
        <f aca="true" t="shared" si="30" ref="C134:R134">ROUND(C106*(1-$B$361),2)</f>
        <v>289</v>
      </c>
      <c r="D134" s="12">
        <f t="shared" si="30"/>
        <v>222</v>
      </c>
      <c r="E134" s="12">
        <f t="shared" si="30"/>
        <v>343</v>
      </c>
      <c r="F134" s="12">
        <f t="shared" si="30"/>
        <v>251</v>
      </c>
      <c r="G134" s="12">
        <f t="shared" si="30"/>
        <v>121</v>
      </c>
      <c r="H134" s="12">
        <f t="shared" si="30"/>
        <v>135</v>
      </c>
      <c r="I134" s="12">
        <f t="shared" si="30"/>
        <v>167</v>
      </c>
      <c r="J134" s="12">
        <f t="shared" si="30"/>
        <v>144</v>
      </c>
      <c r="K134" s="12">
        <f t="shared" si="30"/>
        <v>167</v>
      </c>
      <c r="L134" s="12">
        <f t="shared" si="30"/>
        <v>167</v>
      </c>
      <c r="M134" s="12">
        <f t="shared" si="30"/>
        <v>222</v>
      </c>
      <c r="N134" s="12">
        <f t="shared" si="30"/>
        <v>222</v>
      </c>
      <c r="O134" s="12">
        <f t="shared" si="30"/>
        <v>222</v>
      </c>
      <c r="P134" s="12">
        <f t="shared" si="30"/>
        <v>289</v>
      </c>
      <c r="Q134" s="12">
        <f t="shared" si="30"/>
        <v>115</v>
      </c>
      <c r="R134" s="12">
        <f t="shared" si="30"/>
        <v>121</v>
      </c>
      <c r="S134" s="243"/>
      <c r="T134" s="243"/>
    </row>
    <row r="135" spans="1:20" ht="12.75" customHeight="1">
      <c r="A135" s="276"/>
      <c r="B135" s="15" t="s">
        <v>356</v>
      </c>
      <c r="C135" s="12">
        <f aca="true" t="shared" si="31" ref="C135:R135">ROUND(C109*(1-$B$361),2)</f>
        <v>421</v>
      </c>
      <c r="D135" s="12">
        <f t="shared" si="31"/>
        <v>321</v>
      </c>
      <c r="E135" s="12">
        <f t="shared" si="31"/>
        <v>501</v>
      </c>
      <c r="F135" s="12">
        <f t="shared" si="31"/>
        <v>364</v>
      </c>
      <c r="G135" s="12">
        <f t="shared" si="31"/>
        <v>170</v>
      </c>
      <c r="H135" s="12">
        <f t="shared" si="31"/>
        <v>192</v>
      </c>
      <c r="I135" s="12">
        <f t="shared" si="31"/>
        <v>239</v>
      </c>
      <c r="J135" s="12">
        <f t="shared" si="31"/>
        <v>205</v>
      </c>
      <c r="K135" s="12">
        <f t="shared" si="31"/>
        <v>239</v>
      </c>
      <c r="L135" s="12">
        <f t="shared" si="31"/>
        <v>239</v>
      </c>
      <c r="M135" s="12">
        <f t="shared" si="31"/>
        <v>321</v>
      </c>
      <c r="N135" s="12">
        <f t="shared" si="31"/>
        <v>321</v>
      </c>
      <c r="O135" s="12">
        <f t="shared" si="31"/>
        <v>321</v>
      </c>
      <c r="P135" s="12">
        <f t="shared" si="31"/>
        <v>421</v>
      </c>
      <c r="Q135" s="12">
        <f t="shared" si="31"/>
        <v>161</v>
      </c>
      <c r="R135" s="12">
        <f t="shared" si="31"/>
        <v>170</v>
      </c>
      <c r="S135" s="243"/>
      <c r="T135" s="243"/>
    </row>
    <row r="136" spans="1:20" ht="12.75" customHeight="1">
      <c r="A136" s="276"/>
      <c r="B136" s="15" t="s">
        <v>357</v>
      </c>
      <c r="C136" s="12">
        <f aca="true" t="shared" si="32" ref="C136:R136">ROUND(C110*(1-$B$361),2)</f>
        <v>331</v>
      </c>
      <c r="D136" s="12">
        <f t="shared" si="32"/>
        <v>253</v>
      </c>
      <c r="E136" s="12">
        <f t="shared" si="32"/>
        <v>393</v>
      </c>
      <c r="F136" s="12">
        <f t="shared" si="32"/>
        <v>287</v>
      </c>
      <c r="G136" s="12">
        <f t="shared" si="32"/>
        <v>137</v>
      </c>
      <c r="H136" s="12">
        <f t="shared" si="32"/>
        <v>153</v>
      </c>
      <c r="I136" s="12">
        <f t="shared" si="32"/>
        <v>190</v>
      </c>
      <c r="J136" s="12">
        <f t="shared" si="32"/>
        <v>164</v>
      </c>
      <c r="K136" s="12">
        <f t="shared" si="32"/>
        <v>190</v>
      </c>
      <c r="L136" s="12">
        <f t="shared" si="32"/>
        <v>190</v>
      </c>
      <c r="M136" s="12">
        <f t="shared" si="32"/>
        <v>253</v>
      </c>
      <c r="N136" s="12">
        <f t="shared" si="32"/>
        <v>253</v>
      </c>
      <c r="O136" s="12">
        <f t="shared" si="32"/>
        <v>253</v>
      </c>
      <c r="P136" s="12">
        <f t="shared" si="32"/>
        <v>331</v>
      </c>
      <c r="Q136" s="12">
        <f t="shared" si="32"/>
        <v>130</v>
      </c>
      <c r="R136" s="12">
        <f t="shared" si="32"/>
        <v>137</v>
      </c>
      <c r="S136" s="243"/>
      <c r="T136" s="243"/>
    </row>
    <row r="137" spans="1:20" ht="12.75" customHeight="1">
      <c r="A137" s="276"/>
      <c r="B137" s="177" t="s">
        <v>347</v>
      </c>
      <c r="C137" s="12">
        <f aca="true" t="shared" si="33" ref="C137:R137">ROUND(C112*(1-$B$361),2)</f>
        <v>318</v>
      </c>
      <c r="D137" s="12">
        <f t="shared" si="33"/>
        <v>244</v>
      </c>
      <c r="E137" s="12">
        <f t="shared" si="33"/>
        <v>378</v>
      </c>
      <c r="F137" s="12">
        <f t="shared" si="33"/>
        <v>276</v>
      </c>
      <c r="G137" s="12">
        <f t="shared" si="33"/>
        <v>132</v>
      </c>
      <c r="H137" s="12">
        <f t="shared" si="33"/>
        <v>148</v>
      </c>
      <c r="I137" s="12">
        <f t="shared" si="33"/>
        <v>183</v>
      </c>
      <c r="J137" s="12">
        <f t="shared" si="33"/>
        <v>158</v>
      </c>
      <c r="K137" s="12">
        <f t="shared" si="33"/>
        <v>183</v>
      </c>
      <c r="L137" s="12">
        <f t="shared" si="33"/>
        <v>183</v>
      </c>
      <c r="M137" s="12">
        <f t="shared" si="33"/>
        <v>244</v>
      </c>
      <c r="N137" s="12">
        <f t="shared" si="33"/>
        <v>244</v>
      </c>
      <c r="O137" s="12">
        <f t="shared" si="33"/>
        <v>244</v>
      </c>
      <c r="P137" s="12">
        <f t="shared" si="33"/>
        <v>318</v>
      </c>
      <c r="Q137" s="12">
        <f t="shared" si="33"/>
        <v>125</v>
      </c>
      <c r="R137" s="12">
        <f t="shared" si="33"/>
        <v>132</v>
      </c>
      <c r="S137" s="243"/>
      <c r="T137" s="243"/>
    </row>
    <row r="138" spans="1:20" ht="12.75" customHeight="1">
      <c r="A138" s="276"/>
      <c r="B138" s="15" t="s">
        <v>342</v>
      </c>
      <c r="C138" s="12">
        <f aca="true" t="shared" si="34" ref="C138:R138">ROUND(C113*(1-$B$361),2)</f>
        <v>306</v>
      </c>
      <c r="D138" s="12">
        <f t="shared" si="34"/>
        <v>234</v>
      </c>
      <c r="E138" s="12">
        <f t="shared" si="34"/>
        <v>363</v>
      </c>
      <c r="F138" s="12">
        <f t="shared" si="34"/>
        <v>265</v>
      </c>
      <c r="G138" s="12">
        <f t="shared" si="34"/>
        <v>127</v>
      </c>
      <c r="H138" s="12">
        <f t="shared" si="34"/>
        <v>142</v>
      </c>
      <c r="I138" s="12">
        <f t="shared" si="34"/>
        <v>176</v>
      </c>
      <c r="J138" s="12">
        <f t="shared" si="34"/>
        <v>152</v>
      </c>
      <c r="K138" s="12">
        <f t="shared" si="34"/>
        <v>176</v>
      </c>
      <c r="L138" s="12">
        <f t="shared" si="34"/>
        <v>176</v>
      </c>
      <c r="M138" s="12">
        <f t="shared" si="34"/>
        <v>234</v>
      </c>
      <c r="N138" s="12">
        <f t="shared" si="34"/>
        <v>234</v>
      </c>
      <c r="O138" s="12">
        <f t="shared" si="34"/>
        <v>234</v>
      </c>
      <c r="P138" s="12">
        <f t="shared" si="34"/>
        <v>306</v>
      </c>
      <c r="Q138" s="12">
        <f t="shared" si="34"/>
        <v>121</v>
      </c>
      <c r="R138" s="12">
        <f t="shared" si="34"/>
        <v>127</v>
      </c>
      <c r="S138" s="243"/>
      <c r="T138" s="243"/>
    </row>
    <row r="139" spans="1:20" ht="12.75" customHeight="1">
      <c r="A139" s="276"/>
      <c r="B139" s="15" t="s">
        <v>235</v>
      </c>
      <c r="C139" s="12">
        <f aca="true" t="shared" si="35" ref="C139:R139">ROUND(C114*(1-$B$361),2)</f>
        <v>254</v>
      </c>
      <c r="D139" s="12">
        <f t="shared" si="35"/>
        <v>195</v>
      </c>
      <c r="E139" s="12">
        <f t="shared" si="35"/>
        <v>300</v>
      </c>
      <c r="F139" s="12">
        <f t="shared" si="35"/>
        <v>220</v>
      </c>
      <c r="G139" s="12">
        <f t="shared" si="35"/>
        <v>108</v>
      </c>
      <c r="H139" s="12">
        <f t="shared" si="35"/>
        <v>120</v>
      </c>
      <c r="I139" s="12">
        <f t="shared" si="35"/>
        <v>147</v>
      </c>
      <c r="J139" s="12">
        <f t="shared" si="35"/>
        <v>128</v>
      </c>
      <c r="K139" s="12">
        <f t="shared" si="35"/>
        <v>147</v>
      </c>
      <c r="L139" s="12">
        <f t="shared" si="35"/>
        <v>147</v>
      </c>
      <c r="M139" s="12">
        <f t="shared" si="35"/>
        <v>195</v>
      </c>
      <c r="N139" s="12">
        <f t="shared" si="35"/>
        <v>195</v>
      </c>
      <c r="O139" s="12">
        <f t="shared" si="35"/>
        <v>195</v>
      </c>
      <c r="P139" s="12">
        <f t="shared" si="35"/>
        <v>254</v>
      </c>
      <c r="Q139" s="12">
        <f t="shared" si="35"/>
        <v>102</v>
      </c>
      <c r="R139" s="12">
        <f t="shared" si="35"/>
        <v>108</v>
      </c>
      <c r="S139" s="243"/>
      <c r="T139" s="243"/>
    </row>
    <row r="140" spans="1:20" ht="12.75" customHeight="1">
      <c r="A140" s="277" t="s">
        <v>128</v>
      </c>
      <c r="B140" s="15" t="s">
        <v>142</v>
      </c>
      <c r="C140" s="12">
        <f aca="true" t="shared" si="36" ref="C140:R140">ROUND(C115*(1-$B$361),2)</f>
        <v>892</v>
      </c>
      <c r="D140" s="12">
        <f t="shared" si="36"/>
        <v>674</v>
      </c>
      <c r="E140" s="12">
        <f t="shared" si="36"/>
        <v>1067</v>
      </c>
      <c r="F140" s="12">
        <f t="shared" si="36"/>
        <v>768</v>
      </c>
      <c r="G140" s="12">
        <f t="shared" si="36"/>
        <v>347</v>
      </c>
      <c r="H140" s="12">
        <f t="shared" si="36"/>
        <v>394</v>
      </c>
      <c r="I140" s="12">
        <f t="shared" si="36"/>
        <v>496</v>
      </c>
      <c r="J140" s="12">
        <f t="shared" si="36"/>
        <v>423</v>
      </c>
      <c r="K140" s="12">
        <f t="shared" si="36"/>
        <v>496</v>
      </c>
      <c r="L140" s="12">
        <f t="shared" si="36"/>
        <v>496</v>
      </c>
      <c r="M140" s="12">
        <f t="shared" si="36"/>
        <v>674</v>
      </c>
      <c r="N140" s="12">
        <f t="shared" si="36"/>
        <v>674</v>
      </c>
      <c r="O140" s="12">
        <f t="shared" si="36"/>
        <v>674</v>
      </c>
      <c r="P140" s="12">
        <f t="shared" si="36"/>
        <v>892</v>
      </c>
      <c r="Q140" s="12">
        <f t="shared" si="36"/>
        <v>328</v>
      </c>
      <c r="R140" s="12">
        <f t="shared" si="36"/>
        <v>347</v>
      </c>
      <c r="S140" s="243"/>
      <c r="T140" s="243"/>
    </row>
    <row r="141" spans="1:20" ht="12.75" customHeight="1">
      <c r="A141" s="278"/>
      <c r="B141" s="15" t="s">
        <v>38</v>
      </c>
      <c r="C141" s="12">
        <f aca="true" t="shared" si="37" ref="C141:R141">ROUND(C116*(1-$B$361),2)</f>
        <v>892</v>
      </c>
      <c r="D141" s="12">
        <f t="shared" si="37"/>
        <v>674</v>
      </c>
      <c r="E141" s="12">
        <f t="shared" si="37"/>
        <v>1067</v>
      </c>
      <c r="F141" s="12">
        <f t="shared" si="37"/>
        <v>768</v>
      </c>
      <c r="G141" s="12">
        <f t="shared" si="37"/>
        <v>347</v>
      </c>
      <c r="H141" s="12">
        <f t="shared" si="37"/>
        <v>394</v>
      </c>
      <c r="I141" s="12">
        <f t="shared" si="37"/>
        <v>496</v>
      </c>
      <c r="J141" s="12">
        <f t="shared" si="37"/>
        <v>423</v>
      </c>
      <c r="K141" s="12">
        <f t="shared" si="37"/>
        <v>496</v>
      </c>
      <c r="L141" s="12">
        <f t="shared" si="37"/>
        <v>496</v>
      </c>
      <c r="M141" s="12">
        <f t="shared" si="37"/>
        <v>674</v>
      </c>
      <c r="N141" s="12">
        <f t="shared" si="37"/>
        <v>674</v>
      </c>
      <c r="O141" s="12">
        <f t="shared" si="37"/>
        <v>674</v>
      </c>
      <c r="P141" s="12">
        <f t="shared" si="37"/>
        <v>892</v>
      </c>
      <c r="Q141" s="12">
        <f t="shared" si="37"/>
        <v>328</v>
      </c>
      <c r="R141" s="12">
        <f t="shared" si="37"/>
        <v>347</v>
      </c>
      <c r="S141" s="243"/>
      <c r="T141" s="243"/>
    </row>
    <row r="142" spans="1:20" ht="12.75" customHeight="1">
      <c r="A142" s="278"/>
      <c r="B142" s="15" t="s">
        <v>130</v>
      </c>
      <c r="C142" s="12">
        <f aca="true" t="shared" si="38" ref="C142:R142">ROUND(C117*(1-$B$361),2)</f>
        <v>421</v>
      </c>
      <c r="D142" s="12">
        <f t="shared" si="38"/>
        <v>321</v>
      </c>
      <c r="E142" s="12">
        <f t="shared" si="38"/>
        <v>501</v>
      </c>
      <c r="F142" s="12">
        <f t="shared" si="38"/>
        <v>364</v>
      </c>
      <c r="G142" s="12">
        <f t="shared" si="38"/>
        <v>170</v>
      </c>
      <c r="H142" s="12">
        <f t="shared" si="38"/>
        <v>192</v>
      </c>
      <c r="I142" s="12">
        <f t="shared" si="38"/>
        <v>239</v>
      </c>
      <c r="J142" s="12">
        <f t="shared" si="38"/>
        <v>205</v>
      </c>
      <c r="K142" s="12">
        <f t="shared" si="38"/>
        <v>239</v>
      </c>
      <c r="L142" s="12">
        <f t="shared" si="38"/>
        <v>239</v>
      </c>
      <c r="M142" s="12">
        <f t="shared" si="38"/>
        <v>321</v>
      </c>
      <c r="N142" s="12">
        <f t="shared" si="38"/>
        <v>321</v>
      </c>
      <c r="O142" s="12">
        <f t="shared" si="38"/>
        <v>321</v>
      </c>
      <c r="P142" s="12">
        <f t="shared" si="38"/>
        <v>421</v>
      </c>
      <c r="Q142" s="12">
        <f t="shared" si="38"/>
        <v>161</v>
      </c>
      <c r="R142" s="12">
        <f t="shared" si="38"/>
        <v>170</v>
      </c>
      <c r="S142" s="243"/>
      <c r="T142" s="243"/>
    </row>
    <row r="143" spans="1:20" ht="12.75" customHeight="1">
      <c r="A143" s="278"/>
      <c r="B143" s="15" t="s">
        <v>355</v>
      </c>
      <c r="C143" s="12">
        <f aca="true" t="shared" si="39" ref="C143:R143">ROUND(C118*(1-$B$361),2)</f>
        <v>401</v>
      </c>
      <c r="D143" s="12">
        <f t="shared" si="39"/>
        <v>305</v>
      </c>
      <c r="E143" s="12">
        <f t="shared" si="39"/>
        <v>477</v>
      </c>
      <c r="F143" s="12">
        <f t="shared" si="39"/>
        <v>346</v>
      </c>
      <c r="G143" s="12">
        <f t="shared" si="39"/>
        <v>163</v>
      </c>
      <c r="H143" s="12">
        <f t="shared" si="39"/>
        <v>183</v>
      </c>
      <c r="I143" s="12">
        <f t="shared" si="39"/>
        <v>228</v>
      </c>
      <c r="J143" s="12">
        <f t="shared" si="39"/>
        <v>196</v>
      </c>
      <c r="K143" s="12">
        <f t="shared" si="39"/>
        <v>228</v>
      </c>
      <c r="L143" s="12">
        <f t="shared" si="39"/>
        <v>228</v>
      </c>
      <c r="M143" s="12">
        <f t="shared" si="39"/>
        <v>305</v>
      </c>
      <c r="N143" s="12">
        <f t="shared" si="39"/>
        <v>305</v>
      </c>
      <c r="O143" s="12">
        <f t="shared" si="39"/>
        <v>305</v>
      </c>
      <c r="P143" s="12">
        <f t="shared" si="39"/>
        <v>401</v>
      </c>
      <c r="Q143" s="12">
        <f t="shared" si="39"/>
        <v>154</v>
      </c>
      <c r="R143" s="12">
        <f t="shared" si="39"/>
        <v>163</v>
      </c>
      <c r="S143" s="243"/>
      <c r="T143" s="243"/>
    </row>
    <row r="144" spans="1:20" ht="12.75" customHeight="1">
      <c r="A144" s="278"/>
      <c r="B144" s="15" t="s">
        <v>41</v>
      </c>
      <c r="C144" s="12">
        <f aca="true" t="shared" si="40" ref="C144:R144">ROUND(C119*(1-$B$361),2)</f>
        <v>380</v>
      </c>
      <c r="D144" s="12">
        <f t="shared" si="40"/>
        <v>290</v>
      </c>
      <c r="E144" s="12">
        <f t="shared" si="40"/>
        <v>452</v>
      </c>
      <c r="F144" s="12">
        <f t="shared" si="40"/>
        <v>328</v>
      </c>
      <c r="G144" s="12">
        <f t="shared" si="40"/>
        <v>155</v>
      </c>
      <c r="H144" s="12">
        <f t="shared" si="40"/>
        <v>174</v>
      </c>
      <c r="I144" s="12">
        <f t="shared" si="40"/>
        <v>216</v>
      </c>
      <c r="J144" s="12">
        <f t="shared" si="40"/>
        <v>186</v>
      </c>
      <c r="K144" s="12">
        <f t="shared" si="40"/>
        <v>216</v>
      </c>
      <c r="L144" s="12">
        <f t="shared" si="40"/>
        <v>216</v>
      </c>
      <c r="M144" s="12">
        <f t="shared" si="40"/>
        <v>290</v>
      </c>
      <c r="N144" s="12">
        <f t="shared" si="40"/>
        <v>290</v>
      </c>
      <c r="O144" s="12">
        <f t="shared" si="40"/>
        <v>290</v>
      </c>
      <c r="P144" s="12">
        <f t="shared" si="40"/>
        <v>380</v>
      </c>
      <c r="Q144" s="12">
        <f t="shared" si="40"/>
        <v>147</v>
      </c>
      <c r="R144" s="12">
        <f t="shared" si="40"/>
        <v>155</v>
      </c>
      <c r="S144" s="243"/>
      <c r="T144" s="243"/>
    </row>
    <row r="145" spans="1:20" ht="12.75" customHeight="1">
      <c r="A145" s="278"/>
      <c r="B145" s="15" t="s">
        <v>354</v>
      </c>
      <c r="C145" s="12">
        <f aca="true" t="shared" si="41" ref="C145:R145">ROUND(C120*(1-$B$361),2)</f>
        <v>341</v>
      </c>
      <c r="D145" s="12">
        <f t="shared" si="41"/>
        <v>261</v>
      </c>
      <c r="E145" s="12">
        <f t="shared" si="41"/>
        <v>405</v>
      </c>
      <c r="F145" s="12">
        <f t="shared" si="41"/>
        <v>295</v>
      </c>
      <c r="G145" s="12">
        <f t="shared" si="41"/>
        <v>140</v>
      </c>
      <c r="H145" s="12">
        <f t="shared" si="41"/>
        <v>157</v>
      </c>
      <c r="I145" s="12">
        <f t="shared" si="41"/>
        <v>195</v>
      </c>
      <c r="J145" s="12">
        <f t="shared" si="41"/>
        <v>168</v>
      </c>
      <c r="K145" s="12">
        <f t="shared" si="41"/>
        <v>195</v>
      </c>
      <c r="L145" s="12">
        <f t="shared" si="41"/>
        <v>195</v>
      </c>
      <c r="M145" s="12">
        <f t="shared" si="41"/>
        <v>261</v>
      </c>
      <c r="N145" s="12">
        <f t="shared" si="41"/>
        <v>261</v>
      </c>
      <c r="O145" s="12">
        <f t="shared" si="41"/>
        <v>261</v>
      </c>
      <c r="P145" s="12">
        <f t="shared" si="41"/>
        <v>341</v>
      </c>
      <c r="Q145" s="12">
        <f t="shared" si="41"/>
        <v>133</v>
      </c>
      <c r="R145" s="12">
        <f t="shared" si="41"/>
        <v>140</v>
      </c>
      <c r="S145" s="243"/>
      <c r="T145" s="243"/>
    </row>
    <row r="146" spans="1:20" ht="12.75" customHeight="1">
      <c r="A146" s="278"/>
      <c r="B146" s="15" t="s">
        <v>44</v>
      </c>
      <c r="C146" s="12">
        <f aca="true" t="shared" si="42" ref="C146:R146">ROUND(C121*(1-$B$361),2)</f>
        <v>310</v>
      </c>
      <c r="D146" s="12">
        <f t="shared" si="42"/>
        <v>238</v>
      </c>
      <c r="E146" s="12">
        <f t="shared" si="42"/>
        <v>368</v>
      </c>
      <c r="F146" s="12">
        <f t="shared" si="42"/>
        <v>269</v>
      </c>
      <c r="G146" s="12">
        <f t="shared" si="42"/>
        <v>129</v>
      </c>
      <c r="H146" s="12">
        <f t="shared" si="42"/>
        <v>144</v>
      </c>
      <c r="I146" s="12">
        <f t="shared" si="42"/>
        <v>178</v>
      </c>
      <c r="J146" s="12">
        <f t="shared" si="42"/>
        <v>154</v>
      </c>
      <c r="K146" s="12">
        <f t="shared" si="42"/>
        <v>178</v>
      </c>
      <c r="L146" s="12">
        <f t="shared" si="42"/>
        <v>178</v>
      </c>
      <c r="M146" s="12">
        <f t="shared" si="42"/>
        <v>238</v>
      </c>
      <c r="N146" s="12">
        <f t="shared" si="42"/>
        <v>238</v>
      </c>
      <c r="O146" s="12">
        <f t="shared" si="42"/>
        <v>238</v>
      </c>
      <c r="P146" s="12">
        <f t="shared" si="42"/>
        <v>310</v>
      </c>
      <c r="Q146" s="12">
        <f t="shared" si="42"/>
        <v>122</v>
      </c>
      <c r="R146" s="12">
        <f t="shared" si="42"/>
        <v>129</v>
      </c>
      <c r="S146" s="243"/>
      <c r="T146" s="243"/>
    </row>
    <row r="147" spans="1:20" ht="12.75" customHeight="1">
      <c r="A147" s="278"/>
      <c r="B147" s="177" t="s">
        <v>358</v>
      </c>
      <c r="C147" s="12">
        <f aca="true" t="shared" si="43" ref="C147:R147">ROUND(C122*(1-$B$361),2)</f>
        <v>304</v>
      </c>
      <c r="D147" s="12">
        <f t="shared" si="43"/>
        <v>233</v>
      </c>
      <c r="E147" s="12">
        <f t="shared" si="43"/>
        <v>361</v>
      </c>
      <c r="F147" s="12">
        <f t="shared" si="43"/>
        <v>264</v>
      </c>
      <c r="G147" s="12">
        <f t="shared" si="43"/>
        <v>127</v>
      </c>
      <c r="H147" s="12">
        <f t="shared" si="43"/>
        <v>142</v>
      </c>
      <c r="I147" s="12">
        <f t="shared" si="43"/>
        <v>175</v>
      </c>
      <c r="J147" s="12">
        <f t="shared" si="43"/>
        <v>151</v>
      </c>
      <c r="K147" s="12">
        <f t="shared" si="43"/>
        <v>175</v>
      </c>
      <c r="L147" s="12">
        <f t="shared" si="43"/>
        <v>175</v>
      </c>
      <c r="M147" s="12">
        <f t="shared" si="43"/>
        <v>233</v>
      </c>
      <c r="N147" s="12">
        <f t="shared" si="43"/>
        <v>233</v>
      </c>
      <c r="O147" s="12">
        <f t="shared" si="43"/>
        <v>233</v>
      </c>
      <c r="P147" s="12">
        <f t="shared" si="43"/>
        <v>304</v>
      </c>
      <c r="Q147" s="12">
        <f t="shared" si="43"/>
        <v>120</v>
      </c>
      <c r="R147" s="12">
        <f t="shared" si="43"/>
        <v>127</v>
      </c>
      <c r="S147" s="243"/>
      <c r="T147" s="243"/>
    </row>
    <row r="148" spans="1:20" ht="12.75">
      <c r="A148" s="278"/>
      <c r="B148" s="15" t="s">
        <v>141</v>
      </c>
      <c r="C148" s="12">
        <f aca="true" t="shared" si="44" ref="C148:R148">ROUND(C123*(1-$B$361),2)</f>
        <v>297</v>
      </c>
      <c r="D148" s="12">
        <f t="shared" si="44"/>
        <v>228</v>
      </c>
      <c r="E148" s="12">
        <f t="shared" si="44"/>
        <v>352</v>
      </c>
      <c r="F148" s="12">
        <f t="shared" si="44"/>
        <v>257</v>
      </c>
      <c r="G148" s="12">
        <f t="shared" si="44"/>
        <v>124</v>
      </c>
      <c r="H148" s="12">
        <f t="shared" si="44"/>
        <v>139</v>
      </c>
      <c r="I148" s="12">
        <f t="shared" si="44"/>
        <v>171</v>
      </c>
      <c r="J148" s="12">
        <f t="shared" si="44"/>
        <v>148</v>
      </c>
      <c r="K148" s="12">
        <f t="shared" si="44"/>
        <v>171</v>
      </c>
      <c r="L148" s="12">
        <f t="shared" si="44"/>
        <v>171</v>
      </c>
      <c r="M148" s="12">
        <f t="shared" si="44"/>
        <v>228</v>
      </c>
      <c r="N148" s="12">
        <f t="shared" si="44"/>
        <v>228</v>
      </c>
      <c r="O148" s="12">
        <f t="shared" si="44"/>
        <v>228</v>
      </c>
      <c r="P148" s="12">
        <f t="shared" si="44"/>
        <v>297</v>
      </c>
      <c r="Q148" s="12">
        <f t="shared" si="44"/>
        <v>118</v>
      </c>
      <c r="R148" s="12">
        <f t="shared" si="44"/>
        <v>124</v>
      </c>
      <c r="S148" s="243"/>
      <c r="T148" s="243"/>
    </row>
    <row r="149" spans="1:20" ht="12.75">
      <c r="A149" s="278"/>
      <c r="B149" s="15" t="s">
        <v>48</v>
      </c>
      <c r="C149" s="12">
        <f aca="true" t="shared" si="45" ref="C149:R149">ROUND(C124*(1-$B$361),2)</f>
        <v>254</v>
      </c>
      <c r="D149" s="12">
        <f t="shared" si="45"/>
        <v>196</v>
      </c>
      <c r="E149" s="12">
        <f t="shared" si="45"/>
        <v>301</v>
      </c>
      <c r="F149" s="12">
        <f t="shared" si="45"/>
        <v>221</v>
      </c>
      <c r="G149" s="12">
        <f t="shared" si="45"/>
        <v>108</v>
      </c>
      <c r="H149" s="12">
        <f t="shared" si="45"/>
        <v>120</v>
      </c>
      <c r="I149" s="12">
        <f t="shared" si="45"/>
        <v>148</v>
      </c>
      <c r="J149" s="12">
        <f t="shared" si="45"/>
        <v>128</v>
      </c>
      <c r="K149" s="12">
        <f t="shared" si="45"/>
        <v>148</v>
      </c>
      <c r="L149" s="12">
        <f t="shared" si="45"/>
        <v>148</v>
      </c>
      <c r="M149" s="12">
        <f t="shared" si="45"/>
        <v>196</v>
      </c>
      <c r="N149" s="12">
        <f t="shared" si="45"/>
        <v>196</v>
      </c>
      <c r="O149" s="12">
        <f t="shared" si="45"/>
        <v>196</v>
      </c>
      <c r="P149" s="12">
        <f t="shared" si="45"/>
        <v>254</v>
      </c>
      <c r="Q149" s="12">
        <f t="shared" si="45"/>
        <v>103</v>
      </c>
      <c r="R149" s="12">
        <f t="shared" si="45"/>
        <v>108</v>
      </c>
      <c r="S149" s="243"/>
      <c r="T149" s="243"/>
    </row>
    <row r="150" spans="1:20" ht="12.75">
      <c r="A150" s="278"/>
      <c r="B150" s="15" t="s">
        <v>50</v>
      </c>
      <c r="C150" s="56" t="s">
        <v>28</v>
      </c>
      <c r="D150" s="56" t="s">
        <v>28</v>
      </c>
      <c r="E150" s="56" t="s">
        <v>28</v>
      </c>
      <c r="F150" s="56" t="s">
        <v>28</v>
      </c>
      <c r="G150" s="56" t="s">
        <v>28</v>
      </c>
      <c r="H150" s="56" t="s">
        <v>28</v>
      </c>
      <c r="I150" s="56" t="s">
        <v>28</v>
      </c>
      <c r="J150" s="56" t="s">
        <v>28</v>
      </c>
      <c r="K150" s="56" t="s">
        <v>28</v>
      </c>
      <c r="L150" s="56" t="s">
        <v>28</v>
      </c>
      <c r="M150" s="56" t="s">
        <v>28</v>
      </c>
      <c r="N150" s="56" t="s">
        <v>28</v>
      </c>
      <c r="O150" s="56" t="s">
        <v>28</v>
      </c>
      <c r="P150" s="56" t="s">
        <v>28</v>
      </c>
      <c r="Q150" s="56" t="s">
        <v>28</v>
      </c>
      <c r="R150" s="56" t="s">
        <v>28</v>
      </c>
      <c r="S150" s="243"/>
      <c r="T150" s="243"/>
    </row>
    <row r="151" spans="1:20" ht="12.75">
      <c r="A151" s="278"/>
      <c r="B151" s="15" t="s">
        <v>52</v>
      </c>
      <c r="C151" s="56" t="s">
        <v>28</v>
      </c>
      <c r="D151" s="56" t="s">
        <v>28</v>
      </c>
      <c r="E151" s="56" t="s">
        <v>28</v>
      </c>
      <c r="F151" s="56" t="s">
        <v>28</v>
      </c>
      <c r="G151" s="12">
        <f aca="true" t="shared" si="46" ref="G151:R151">ROUND(G126*(1-$B$361),2)</f>
        <v>141</v>
      </c>
      <c r="H151" s="12">
        <f t="shared" si="46"/>
        <v>158</v>
      </c>
      <c r="I151" s="12">
        <f t="shared" si="46"/>
        <v>196</v>
      </c>
      <c r="J151" s="12">
        <f t="shared" si="46"/>
        <v>169</v>
      </c>
      <c r="K151" s="12">
        <f t="shared" si="46"/>
        <v>196</v>
      </c>
      <c r="L151" s="12">
        <f t="shared" si="46"/>
        <v>196</v>
      </c>
      <c r="M151" s="12">
        <f t="shared" si="46"/>
        <v>261</v>
      </c>
      <c r="N151" s="12">
        <f t="shared" si="46"/>
        <v>261</v>
      </c>
      <c r="O151" s="12">
        <f t="shared" si="46"/>
        <v>261</v>
      </c>
      <c r="P151" s="12">
        <f t="shared" si="46"/>
        <v>342</v>
      </c>
      <c r="Q151" s="12">
        <f t="shared" si="46"/>
        <v>134</v>
      </c>
      <c r="R151" s="12">
        <f t="shared" si="46"/>
        <v>141</v>
      </c>
      <c r="S151" s="243"/>
      <c r="T151" s="243"/>
    </row>
    <row r="152" spans="1:20" ht="12.75">
      <c r="A152" s="279"/>
      <c r="B152" s="15" t="s">
        <v>54</v>
      </c>
      <c r="C152" s="12">
        <f aca="true" t="shared" si="47" ref="C152:F154">ROUND(C127*(1-$B$361),2)</f>
        <v>232</v>
      </c>
      <c r="D152" s="12">
        <f t="shared" si="47"/>
        <v>179</v>
      </c>
      <c r="E152" s="12">
        <f t="shared" si="47"/>
        <v>275</v>
      </c>
      <c r="F152" s="12">
        <f t="shared" si="47"/>
        <v>202</v>
      </c>
      <c r="G152" s="12">
        <f aca="true" t="shared" si="48" ref="G152:R152">ROUND(G127*(1-$B$361),2)</f>
        <v>100</v>
      </c>
      <c r="H152" s="12">
        <f t="shared" si="48"/>
        <v>111</v>
      </c>
      <c r="I152" s="12">
        <f t="shared" si="48"/>
        <v>136</v>
      </c>
      <c r="J152" s="12">
        <f t="shared" si="48"/>
        <v>118</v>
      </c>
      <c r="K152" s="12">
        <f t="shared" si="48"/>
        <v>136</v>
      </c>
      <c r="L152" s="12">
        <f t="shared" si="48"/>
        <v>136</v>
      </c>
      <c r="M152" s="12">
        <f t="shared" si="48"/>
        <v>179</v>
      </c>
      <c r="N152" s="12">
        <f t="shared" si="48"/>
        <v>179</v>
      </c>
      <c r="O152" s="12">
        <f t="shared" si="48"/>
        <v>179</v>
      </c>
      <c r="P152" s="12">
        <f t="shared" si="48"/>
        <v>232</v>
      </c>
      <c r="Q152" s="12">
        <f t="shared" si="48"/>
        <v>95</v>
      </c>
      <c r="R152" s="12">
        <f t="shared" si="48"/>
        <v>100</v>
      </c>
      <c r="S152" s="243"/>
      <c r="T152" s="243"/>
    </row>
    <row r="153" spans="1:20" ht="12.75">
      <c r="A153" s="268" t="s">
        <v>56</v>
      </c>
      <c r="B153" s="97" t="s">
        <v>57</v>
      </c>
      <c r="C153" s="12">
        <f t="shared" si="47"/>
        <v>213</v>
      </c>
      <c r="D153" s="12">
        <f t="shared" si="47"/>
        <v>165</v>
      </c>
      <c r="E153" s="12">
        <f t="shared" si="47"/>
        <v>252</v>
      </c>
      <c r="F153" s="12">
        <f t="shared" si="47"/>
        <v>186</v>
      </c>
      <c r="G153" s="12">
        <f aca="true" t="shared" si="49" ref="G153:R153">ROUND(G128*(1-$B$361),2)</f>
        <v>92</v>
      </c>
      <c r="H153" s="12">
        <f t="shared" si="49"/>
        <v>103</v>
      </c>
      <c r="I153" s="12">
        <f t="shared" si="49"/>
        <v>125</v>
      </c>
      <c r="J153" s="12">
        <f t="shared" si="49"/>
        <v>109</v>
      </c>
      <c r="K153" s="12">
        <f t="shared" si="49"/>
        <v>125</v>
      </c>
      <c r="L153" s="12">
        <f t="shared" si="49"/>
        <v>125</v>
      </c>
      <c r="M153" s="12">
        <f t="shared" si="49"/>
        <v>165</v>
      </c>
      <c r="N153" s="12">
        <f t="shared" si="49"/>
        <v>165</v>
      </c>
      <c r="O153" s="12">
        <f t="shared" si="49"/>
        <v>165</v>
      </c>
      <c r="P153" s="12">
        <f t="shared" si="49"/>
        <v>213</v>
      </c>
      <c r="Q153" s="12">
        <f t="shared" si="49"/>
        <v>88</v>
      </c>
      <c r="R153" s="12">
        <f t="shared" si="49"/>
        <v>92</v>
      </c>
      <c r="S153" s="243"/>
      <c r="T153" s="243"/>
    </row>
    <row r="154" spans="1:20" ht="13.5" thickBot="1">
      <c r="A154" s="269"/>
      <c r="B154" s="131" t="s">
        <v>59</v>
      </c>
      <c r="C154" s="12">
        <f t="shared" si="47"/>
        <v>245</v>
      </c>
      <c r="D154" s="12">
        <f t="shared" si="47"/>
        <v>189</v>
      </c>
      <c r="E154" s="12">
        <f t="shared" si="47"/>
        <v>291</v>
      </c>
      <c r="F154" s="12">
        <f t="shared" si="47"/>
        <v>213</v>
      </c>
      <c r="G154" s="12">
        <f aca="true" t="shared" si="50" ref="G154:R154">ROUND(G129*(1-$B$361),2)</f>
        <v>105</v>
      </c>
      <c r="H154" s="12">
        <f t="shared" si="50"/>
        <v>117</v>
      </c>
      <c r="I154" s="12">
        <f t="shared" si="50"/>
        <v>143</v>
      </c>
      <c r="J154" s="12">
        <f t="shared" si="50"/>
        <v>124</v>
      </c>
      <c r="K154" s="12">
        <f t="shared" si="50"/>
        <v>143</v>
      </c>
      <c r="L154" s="12">
        <f t="shared" si="50"/>
        <v>143</v>
      </c>
      <c r="M154" s="12">
        <f t="shared" si="50"/>
        <v>189</v>
      </c>
      <c r="N154" s="12">
        <f t="shared" si="50"/>
        <v>189</v>
      </c>
      <c r="O154" s="12">
        <f t="shared" si="50"/>
        <v>189</v>
      </c>
      <c r="P154" s="12">
        <f t="shared" si="50"/>
        <v>245</v>
      </c>
      <c r="Q154" s="12">
        <f t="shared" si="50"/>
        <v>100</v>
      </c>
      <c r="R154" s="12">
        <f t="shared" si="50"/>
        <v>105</v>
      </c>
      <c r="S154" s="241"/>
      <c r="T154" s="241"/>
    </row>
    <row r="155" spans="1:17" ht="12.75">
      <c r="A155" s="46"/>
      <c r="B155" s="2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</row>
    <row r="156" spans="1:13" ht="12.75" customHeight="1">
      <c r="A156" s="282" t="s">
        <v>160</v>
      </c>
      <c r="B156" s="292"/>
      <c r="C156" s="251" t="s">
        <v>157</v>
      </c>
      <c r="D156" s="252"/>
      <c r="E156" s="252"/>
      <c r="F156" s="252"/>
      <c r="G156" s="252"/>
      <c r="H156" s="252"/>
      <c r="I156" s="252"/>
      <c r="J156" s="252"/>
      <c r="K156" s="252"/>
      <c r="L156" s="252"/>
      <c r="M156" s="253"/>
    </row>
    <row r="157" spans="1:13" ht="12.75">
      <c r="A157" s="284"/>
      <c r="B157" s="286"/>
      <c r="C157" s="294" t="s">
        <v>0</v>
      </c>
      <c r="D157" s="295"/>
      <c r="E157" s="295"/>
      <c r="F157" s="295"/>
      <c r="G157" s="296"/>
      <c r="H157" s="236" t="s">
        <v>163</v>
      </c>
      <c r="I157" s="236"/>
      <c r="J157" s="236"/>
      <c r="K157" s="236"/>
      <c r="L157" s="236"/>
      <c r="M157" s="236"/>
    </row>
    <row r="158" spans="1:13" ht="54.75" customHeight="1">
      <c r="A158" s="284"/>
      <c r="B158" s="286"/>
      <c r="C158" s="12" t="s">
        <v>329</v>
      </c>
      <c r="D158" s="12" t="s">
        <v>330</v>
      </c>
      <c r="E158" s="134" t="s">
        <v>143</v>
      </c>
      <c r="F158" s="134" t="s">
        <v>144</v>
      </c>
      <c r="G158" s="134" t="s">
        <v>145</v>
      </c>
      <c r="H158" s="261" t="s">
        <v>166</v>
      </c>
      <c r="I158" s="262"/>
      <c r="J158" s="263"/>
      <c r="K158" s="261" t="s">
        <v>167</v>
      </c>
      <c r="L158" s="262"/>
      <c r="M158" s="263"/>
    </row>
    <row r="159" spans="1:13" ht="13.5" thickBot="1">
      <c r="A159" s="280" t="s">
        <v>17</v>
      </c>
      <c r="B159" s="281"/>
      <c r="C159" s="12" t="s">
        <v>148</v>
      </c>
      <c r="D159" s="12" t="s">
        <v>148</v>
      </c>
      <c r="E159" s="12" t="s">
        <v>148</v>
      </c>
      <c r="F159" s="12" t="s">
        <v>148</v>
      </c>
      <c r="G159" s="12" t="s">
        <v>149</v>
      </c>
      <c r="H159" s="12" t="s">
        <v>164</v>
      </c>
      <c r="I159" s="12" t="s">
        <v>165</v>
      </c>
      <c r="J159" s="12" t="s">
        <v>21</v>
      </c>
      <c r="K159" s="12" t="s">
        <v>164</v>
      </c>
      <c r="L159" s="12" t="s">
        <v>165</v>
      </c>
      <c r="M159" s="12" t="s">
        <v>21</v>
      </c>
    </row>
    <row r="160" spans="1:13" ht="12.75" hidden="1">
      <c r="A160" s="132"/>
      <c r="B160" s="137" t="s">
        <v>23</v>
      </c>
      <c r="C160" s="56">
        <v>299</v>
      </c>
      <c r="D160" s="56">
        <v>299</v>
      </c>
      <c r="E160" s="56">
        <v>459</v>
      </c>
      <c r="F160" s="56">
        <v>299</v>
      </c>
      <c r="G160" s="56">
        <v>404</v>
      </c>
      <c r="H160" s="56">
        <v>269</v>
      </c>
      <c r="I160" s="56">
        <v>322</v>
      </c>
      <c r="J160" s="56">
        <v>359</v>
      </c>
      <c r="K160" s="56">
        <v>260</v>
      </c>
      <c r="L160" s="56">
        <v>319</v>
      </c>
      <c r="M160" s="56">
        <v>356</v>
      </c>
    </row>
    <row r="161" spans="1:13" ht="12.75" hidden="1">
      <c r="A161" s="132"/>
      <c r="B161" s="137" t="s">
        <v>24</v>
      </c>
      <c r="C161" s="56">
        <v>255</v>
      </c>
      <c r="D161" s="56">
        <v>255</v>
      </c>
      <c r="E161" s="56">
        <v>390</v>
      </c>
      <c r="F161" s="56">
        <v>255</v>
      </c>
      <c r="G161" s="56">
        <v>343</v>
      </c>
      <c r="H161" s="56">
        <v>231</v>
      </c>
      <c r="I161" s="56">
        <v>277</v>
      </c>
      <c r="J161" s="56">
        <v>308</v>
      </c>
      <c r="K161" s="56">
        <v>224</v>
      </c>
      <c r="L161" s="56">
        <v>275</v>
      </c>
      <c r="M161" s="56">
        <v>306</v>
      </c>
    </row>
    <row r="162" spans="1:13" ht="12.75" hidden="1">
      <c r="A162" s="132"/>
      <c r="B162" s="137" t="s">
        <v>26</v>
      </c>
      <c r="C162" s="56">
        <v>218</v>
      </c>
      <c r="D162" s="56">
        <v>218</v>
      </c>
      <c r="E162" s="56">
        <v>331</v>
      </c>
      <c r="F162" s="56">
        <v>218</v>
      </c>
      <c r="G162" s="56">
        <v>292</v>
      </c>
      <c r="H162" s="56">
        <v>199</v>
      </c>
      <c r="I162" s="56">
        <v>238</v>
      </c>
      <c r="J162" s="56">
        <v>265</v>
      </c>
      <c r="K162" s="56">
        <v>193</v>
      </c>
      <c r="L162" s="56">
        <v>236</v>
      </c>
      <c r="M162" s="56">
        <v>263</v>
      </c>
    </row>
    <row r="163" spans="1:13" ht="12.75" hidden="1">
      <c r="A163" s="132"/>
      <c r="B163" s="15" t="s">
        <v>364</v>
      </c>
      <c r="C163" s="56">
        <v>184</v>
      </c>
      <c r="D163" s="56">
        <v>184</v>
      </c>
      <c r="E163" s="56">
        <v>278</v>
      </c>
      <c r="F163" s="56">
        <v>184</v>
      </c>
      <c r="G163" s="56">
        <v>245</v>
      </c>
      <c r="H163" s="56">
        <v>170</v>
      </c>
      <c r="I163" s="56">
        <v>204</v>
      </c>
      <c r="J163" s="56">
        <v>227</v>
      </c>
      <c r="K163" s="56">
        <v>165</v>
      </c>
      <c r="L163" s="56">
        <v>202</v>
      </c>
      <c r="M163" s="56">
        <v>225</v>
      </c>
    </row>
    <row r="164" spans="1:13" ht="12.75" hidden="1">
      <c r="A164" s="132"/>
      <c r="B164" s="15" t="s">
        <v>365</v>
      </c>
      <c r="C164" s="56">
        <v>167</v>
      </c>
      <c r="D164" s="56">
        <v>167</v>
      </c>
      <c r="E164" s="56">
        <v>251</v>
      </c>
      <c r="F164" s="56">
        <v>167</v>
      </c>
      <c r="G164" s="56">
        <v>222</v>
      </c>
      <c r="H164" s="56">
        <v>156</v>
      </c>
      <c r="I164" s="56">
        <v>186</v>
      </c>
      <c r="J164" s="56">
        <v>207</v>
      </c>
      <c r="K164" s="56">
        <v>151</v>
      </c>
      <c r="L164" s="56">
        <v>185</v>
      </c>
      <c r="M164" s="56">
        <v>206</v>
      </c>
    </row>
    <row r="165" spans="1:13" ht="12.75" hidden="1">
      <c r="A165" s="132"/>
      <c r="B165" s="137" t="s">
        <v>29</v>
      </c>
      <c r="C165" s="56">
        <v>241</v>
      </c>
      <c r="D165" s="56">
        <v>241</v>
      </c>
      <c r="E165" s="56">
        <v>368</v>
      </c>
      <c r="F165" s="56">
        <v>241</v>
      </c>
      <c r="G165" s="56">
        <v>324</v>
      </c>
      <c r="H165" s="56">
        <v>219</v>
      </c>
      <c r="I165" s="56">
        <v>263</v>
      </c>
      <c r="J165" s="56">
        <v>292</v>
      </c>
      <c r="K165" s="56">
        <v>212</v>
      </c>
      <c r="L165" s="56">
        <v>260</v>
      </c>
      <c r="M165" s="56">
        <v>290</v>
      </c>
    </row>
    <row r="166" spans="1:13" ht="12.75" hidden="1">
      <c r="A166" s="132"/>
      <c r="B166" s="137" t="s">
        <v>30</v>
      </c>
      <c r="C166" s="56">
        <v>158</v>
      </c>
      <c r="D166" s="56">
        <v>158</v>
      </c>
      <c r="E166" s="56">
        <v>237</v>
      </c>
      <c r="F166" s="56">
        <v>158</v>
      </c>
      <c r="G166" s="56">
        <v>210</v>
      </c>
      <c r="H166" s="56">
        <v>148</v>
      </c>
      <c r="I166" s="56">
        <v>177</v>
      </c>
      <c r="J166" s="56">
        <v>197</v>
      </c>
      <c r="K166" s="56">
        <v>143</v>
      </c>
      <c r="L166" s="56">
        <v>176</v>
      </c>
      <c r="M166" s="56">
        <v>196</v>
      </c>
    </row>
    <row r="167" spans="1:13" ht="12.75" hidden="1">
      <c r="A167" s="132"/>
      <c r="B167" s="137" t="s">
        <v>356</v>
      </c>
      <c r="C167" s="56">
        <v>239</v>
      </c>
      <c r="D167" s="56">
        <v>239</v>
      </c>
      <c r="E167" s="56">
        <v>364</v>
      </c>
      <c r="F167" s="56">
        <v>239</v>
      </c>
      <c r="G167" s="56">
        <v>321</v>
      </c>
      <c r="H167" s="56">
        <v>217</v>
      </c>
      <c r="I167" s="56">
        <v>260</v>
      </c>
      <c r="J167" s="56">
        <v>289</v>
      </c>
      <c r="K167" s="56">
        <v>210</v>
      </c>
      <c r="L167" s="56">
        <v>258</v>
      </c>
      <c r="M167" s="56">
        <v>287</v>
      </c>
    </row>
    <row r="168" spans="1:13" ht="12.75" hidden="1">
      <c r="A168" s="132"/>
      <c r="B168" s="15" t="s">
        <v>357</v>
      </c>
      <c r="C168" s="56">
        <v>190</v>
      </c>
      <c r="D168" s="56">
        <v>190</v>
      </c>
      <c r="E168" s="56">
        <v>287</v>
      </c>
      <c r="F168" s="56">
        <v>190</v>
      </c>
      <c r="G168" s="56">
        <v>253</v>
      </c>
      <c r="H168" s="56">
        <v>175</v>
      </c>
      <c r="I168" s="56">
        <v>210</v>
      </c>
      <c r="J168" s="56">
        <v>233</v>
      </c>
      <c r="K168" s="56">
        <v>170</v>
      </c>
      <c r="L168" s="56">
        <v>208</v>
      </c>
      <c r="M168" s="56">
        <v>232</v>
      </c>
    </row>
    <row r="169" spans="1:13" ht="12.75" hidden="1">
      <c r="A169" s="132"/>
      <c r="B169" s="137" t="s">
        <v>32</v>
      </c>
      <c r="C169" s="56">
        <v>152</v>
      </c>
      <c r="D169" s="56">
        <v>152</v>
      </c>
      <c r="E169" s="56">
        <v>228</v>
      </c>
      <c r="F169" s="56">
        <v>152</v>
      </c>
      <c r="G169" s="56">
        <v>202</v>
      </c>
      <c r="H169" s="56">
        <v>143</v>
      </c>
      <c r="I169" s="56">
        <v>171</v>
      </c>
      <c r="J169" s="56">
        <v>191</v>
      </c>
      <c r="K169" s="56">
        <v>139</v>
      </c>
      <c r="L169" s="56">
        <v>170</v>
      </c>
      <c r="M169" s="56">
        <v>189</v>
      </c>
    </row>
    <row r="170" spans="1:13" ht="12.75" hidden="1">
      <c r="A170" s="132"/>
      <c r="B170" s="177" t="s">
        <v>347</v>
      </c>
      <c r="C170" s="56">
        <v>183</v>
      </c>
      <c r="D170" s="56">
        <v>183</v>
      </c>
      <c r="E170" s="56">
        <v>276</v>
      </c>
      <c r="F170" s="56">
        <v>183</v>
      </c>
      <c r="G170" s="56">
        <v>244</v>
      </c>
      <c r="H170" s="56">
        <v>169</v>
      </c>
      <c r="I170" s="56">
        <v>202</v>
      </c>
      <c r="J170" s="56">
        <v>225</v>
      </c>
      <c r="K170" s="56">
        <v>164</v>
      </c>
      <c r="L170" s="56">
        <v>201</v>
      </c>
      <c r="M170" s="56">
        <v>224</v>
      </c>
    </row>
    <row r="171" spans="1:13" ht="12.75" hidden="1">
      <c r="A171" s="132"/>
      <c r="B171" s="137" t="s">
        <v>342</v>
      </c>
      <c r="C171" s="56">
        <v>176</v>
      </c>
      <c r="D171" s="56">
        <v>176</v>
      </c>
      <c r="E171" s="56">
        <v>265</v>
      </c>
      <c r="F171" s="56">
        <v>176</v>
      </c>
      <c r="G171" s="56">
        <v>234</v>
      </c>
      <c r="H171" s="56">
        <v>163</v>
      </c>
      <c r="I171" s="56">
        <v>195</v>
      </c>
      <c r="J171" s="56">
        <v>218</v>
      </c>
      <c r="K171" s="56">
        <v>158</v>
      </c>
      <c r="L171" s="56">
        <v>194</v>
      </c>
      <c r="M171" s="56">
        <v>216</v>
      </c>
    </row>
    <row r="172" spans="1:13" ht="12.75" hidden="1">
      <c r="A172" s="132"/>
      <c r="B172" s="137" t="s">
        <v>33</v>
      </c>
      <c r="C172" s="56">
        <v>147</v>
      </c>
      <c r="D172" s="56">
        <v>147</v>
      </c>
      <c r="E172" s="56">
        <v>220</v>
      </c>
      <c r="F172" s="56">
        <v>147</v>
      </c>
      <c r="G172" s="56">
        <v>195</v>
      </c>
      <c r="H172" s="56">
        <v>139</v>
      </c>
      <c r="I172" s="56">
        <v>166</v>
      </c>
      <c r="J172" s="56">
        <v>185</v>
      </c>
      <c r="K172" s="56">
        <v>134</v>
      </c>
      <c r="L172" s="56">
        <v>165</v>
      </c>
      <c r="M172" s="56">
        <v>184</v>
      </c>
    </row>
    <row r="173" spans="1:13" ht="12.75" hidden="1">
      <c r="A173" s="132"/>
      <c r="B173" s="137" t="s">
        <v>142</v>
      </c>
      <c r="C173" s="56">
        <v>496</v>
      </c>
      <c r="D173" s="56">
        <v>496</v>
      </c>
      <c r="E173" s="56">
        <v>768</v>
      </c>
      <c r="F173" s="56">
        <v>496</v>
      </c>
      <c r="G173" s="56">
        <v>674</v>
      </c>
      <c r="H173" s="56">
        <v>438</v>
      </c>
      <c r="I173" s="56">
        <v>524</v>
      </c>
      <c r="J173" s="56">
        <v>583</v>
      </c>
      <c r="K173" s="56">
        <v>424</v>
      </c>
      <c r="L173" s="56">
        <v>520</v>
      </c>
      <c r="M173" s="56">
        <v>579</v>
      </c>
    </row>
    <row r="174" spans="1:13" ht="12.75" hidden="1">
      <c r="A174" s="132"/>
      <c r="B174" s="137" t="s">
        <v>38</v>
      </c>
      <c r="C174" s="56">
        <v>496</v>
      </c>
      <c r="D174" s="56">
        <v>496</v>
      </c>
      <c r="E174" s="56">
        <v>768</v>
      </c>
      <c r="F174" s="56">
        <v>496</v>
      </c>
      <c r="G174" s="56">
        <v>674</v>
      </c>
      <c r="H174" s="56">
        <v>438</v>
      </c>
      <c r="I174" s="56">
        <v>524</v>
      </c>
      <c r="J174" s="56">
        <v>583</v>
      </c>
      <c r="K174" s="56">
        <v>424</v>
      </c>
      <c r="L174" s="56">
        <v>520</v>
      </c>
      <c r="M174" s="56">
        <v>579</v>
      </c>
    </row>
    <row r="175" spans="1:13" ht="12.75" hidden="1">
      <c r="A175" s="132"/>
      <c r="B175" s="137" t="s">
        <v>130</v>
      </c>
      <c r="C175" s="56">
        <v>239</v>
      </c>
      <c r="D175" s="56">
        <v>239</v>
      </c>
      <c r="E175" s="56">
        <v>364</v>
      </c>
      <c r="F175" s="56">
        <v>239</v>
      </c>
      <c r="G175" s="56">
        <v>321</v>
      </c>
      <c r="H175" s="56">
        <v>217</v>
      </c>
      <c r="I175" s="56">
        <v>260</v>
      </c>
      <c r="J175" s="56">
        <v>289</v>
      </c>
      <c r="K175" s="56">
        <v>210</v>
      </c>
      <c r="L175" s="56">
        <v>258</v>
      </c>
      <c r="M175" s="56">
        <v>287</v>
      </c>
    </row>
    <row r="176" spans="1:13" ht="12.75" hidden="1">
      <c r="A176" s="132"/>
      <c r="B176" s="137" t="s">
        <v>355</v>
      </c>
      <c r="C176" s="56">
        <v>228</v>
      </c>
      <c r="D176" s="56">
        <v>228</v>
      </c>
      <c r="E176" s="56">
        <v>346</v>
      </c>
      <c r="F176" s="56">
        <v>228</v>
      </c>
      <c r="G176" s="56">
        <v>305</v>
      </c>
      <c r="H176" s="56">
        <v>208</v>
      </c>
      <c r="I176" s="56">
        <v>249</v>
      </c>
      <c r="J176" s="56">
        <v>277</v>
      </c>
      <c r="K176" s="56">
        <v>201</v>
      </c>
      <c r="L176" s="56">
        <v>246</v>
      </c>
      <c r="M176" s="56">
        <v>275</v>
      </c>
    </row>
    <row r="177" spans="1:13" ht="12.75" hidden="1">
      <c r="A177" s="132"/>
      <c r="B177" s="137" t="s">
        <v>41</v>
      </c>
      <c r="C177" s="56">
        <v>216</v>
      </c>
      <c r="D177" s="56">
        <v>216</v>
      </c>
      <c r="E177" s="56">
        <v>328</v>
      </c>
      <c r="F177" s="56">
        <v>216</v>
      </c>
      <c r="G177" s="56">
        <v>290</v>
      </c>
      <c r="H177" s="56">
        <v>198</v>
      </c>
      <c r="I177" s="56">
        <v>237</v>
      </c>
      <c r="J177" s="56">
        <v>264</v>
      </c>
      <c r="K177" s="56">
        <v>192</v>
      </c>
      <c r="L177" s="56">
        <v>235</v>
      </c>
      <c r="M177" s="56">
        <v>262</v>
      </c>
    </row>
    <row r="178" spans="1:13" ht="12.75" hidden="1">
      <c r="A178" s="132"/>
      <c r="B178" s="137" t="s">
        <v>354</v>
      </c>
      <c r="C178" s="56">
        <v>195</v>
      </c>
      <c r="D178" s="56">
        <v>195</v>
      </c>
      <c r="E178" s="56">
        <v>295</v>
      </c>
      <c r="F178" s="56">
        <v>195</v>
      </c>
      <c r="G178" s="56">
        <v>261</v>
      </c>
      <c r="H178" s="56">
        <v>180</v>
      </c>
      <c r="I178" s="56">
        <v>215</v>
      </c>
      <c r="J178" s="56">
        <v>239</v>
      </c>
      <c r="K178" s="56">
        <v>174</v>
      </c>
      <c r="L178" s="56">
        <v>213</v>
      </c>
      <c r="M178" s="56">
        <v>238</v>
      </c>
    </row>
    <row r="179" spans="1:13" ht="12.75" hidden="1">
      <c r="A179" s="132"/>
      <c r="B179" s="137" t="s">
        <v>44</v>
      </c>
      <c r="C179" s="56">
        <v>178</v>
      </c>
      <c r="D179" s="56">
        <v>178</v>
      </c>
      <c r="E179" s="56">
        <v>269</v>
      </c>
      <c r="F179" s="56">
        <v>178</v>
      </c>
      <c r="G179" s="56">
        <v>238</v>
      </c>
      <c r="H179" s="56">
        <v>165</v>
      </c>
      <c r="I179" s="56">
        <v>198</v>
      </c>
      <c r="J179" s="56">
        <v>220</v>
      </c>
      <c r="K179" s="56">
        <v>160</v>
      </c>
      <c r="L179" s="56">
        <v>196</v>
      </c>
      <c r="M179" s="56">
        <v>219</v>
      </c>
    </row>
    <row r="180" spans="1:13" ht="12.75" hidden="1">
      <c r="A180" s="132"/>
      <c r="B180" s="137" t="s">
        <v>358</v>
      </c>
      <c r="C180" s="56">
        <v>175</v>
      </c>
      <c r="D180" s="56">
        <v>175</v>
      </c>
      <c r="E180" s="56">
        <v>264</v>
      </c>
      <c r="F180" s="56">
        <v>175</v>
      </c>
      <c r="G180" s="56">
        <v>233</v>
      </c>
      <c r="H180" s="56">
        <v>162</v>
      </c>
      <c r="I180" s="56">
        <v>195</v>
      </c>
      <c r="J180" s="56">
        <v>217</v>
      </c>
      <c r="K180" s="56">
        <v>157</v>
      </c>
      <c r="L180" s="56">
        <v>193</v>
      </c>
      <c r="M180" s="56">
        <v>215</v>
      </c>
    </row>
    <row r="181" spans="1:13" ht="12.75" hidden="1">
      <c r="A181" s="132"/>
      <c r="B181" s="137" t="s">
        <v>141</v>
      </c>
      <c r="C181" s="56">
        <v>171</v>
      </c>
      <c r="D181" s="56">
        <v>171</v>
      </c>
      <c r="E181" s="56">
        <v>257</v>
      </c>
      <c r="F181" s="56">
        <v>171</v>
      </c>
      <c r="G181" s="56">
        <v>228</v>
      </c>
      <c r="H181" s="56">
        <v>159</v>
      </c>
      <c r="I181" s="56">
        <v>190</v>
      </c>
      <c r="J181" s="56">
        <v>212</v>
      </c>
      <c r="K181" s="56">
        <v>154</v>
      </c>
      <c r="L181" s="56">
        <v>189</v>
      </c>
      <c r="M181" s="56">
        <v>210</v>
      </c>
    </row>
    <row r="182" spans="1:13" ht="12.75" hidden="1">
      <c r="A182" s="132"/>
      <c r="B182" s="137" t="s">
        <v>48</v>
      </c>
      <c r="C182" s="56">
        <v>148</v>
      </c>
      <c r="D182" s="56">
        <v>148</v>
      </c>
      <c r="E182" s="56">
        <v>221</v>
      </c>
      <c r="F182" s="56">
        <v>148</v>
      </c>
      <c r="G182" s="56">
        <v>196</v>
      </c>
      <c r="H182" s="56">
        <v>139</v>
      </c>
      <c r="I182" s="56">
        <v>166</v>
      </c>
      <c r="J182" s="56">
        <v>185</v>
      </c>
      <c r="K182" s="56">
        <v>135</v>
      </c>
      <c r="L182" s="56">
        <v>165</v>
      </c>
      <c r="M182" s="56">
        <v>184</v>
      </c>
    </row>
    <row r="183" spans="1:13" ht="12.75" hidden="1">
      <c r="A183" s="132"/>
      <c r="B183" s="137" t="s">
        <v>50</v>
      </c>
      <c r="C183" s="56" t="s">
        <v>28</v>
      </c>
      <c r="D183" s="56" t="s">
        <v>28</v>
      </c>
      <c r="E183" s="56" t="s">
        <v>28</v>
      </c>
      <c r="F183" s="56" t="s">
        <v>28</v>
      </c>
      <c r="G183" s="56" t="s">
        <v>28</v>
      </c>
      <c r="H183" s="56" t="s">
        <v>28</v>
      </c>
      <c r="I183" s="56" t="s">
        <v>28</v>
      </c>
      <c r="J183" s="56" t="s">
        <v>28</v>
      </c>
      <c r="K183" s="56" t="s">
        <v>28</v>
      </c>
      <c r="L183" s="56" t="s">
        <v>28</v>
      </c>
      <c r="M183" s="56" t="s">
        <v>28</v>
      </c>
    </row>
    <row r="184" spans="1:13" ht="12.75" hidden="1">
      <c r="A184" s="132"/>
      <c r="B184" s="137" t="s">
        <v>52</v>
      </c>
      <c r="C184" s="56" t="s">
        <v>28</v>
      </c>
      <c r="D184" s="56" t="s">
        <v>28</v>
      </c>
      <c r="E184" s="56" t="s">
        <v>28</v>
      </c>
      <c r="F184" s="56" t="s">
        <v>28</v>
      </c>
      <c r="G184" s="56">
        <v>261</v>
      </c>
      <c r="H184" s="56">
        <v>180</v>
      </c>
      <c r="I184" s="56">
        <v>216</v>
      </c>
      <c r="J184" s="56">
        <v>240</v>
      </c>
      <c r="K184" s="56">
        <v>174</v>
      </c>
      <c r="L184" s="56">
        <v>214</v>
      </c>
      <c r="M184" s="56">
        <v>238</v>
      </c>
    </row>
    <row r="185" spans="1:13" ht="12.75" hidden="1">
      <c r="A185" s="132"/>
      <c r="B185" s="137" t="s">
        <v>54</v>
      </c>
      <c r="C185" s="56">
        <v>136</v>
      </c>
      <c r="D185" s="56">
        <v>136</v>
      </c>
      <c r="E185" s="56">
        <v>202</v>
      </c>
      <c r="F185" s="56">
        <v>136</v>
      </c>
      <c r="G185" s="56">
        <v>179</v>
      </c>
      <c r="H185" s="56">
        <v>129</v>
      </c>
      <c r="I185" s="56">
        <v>154</v>
      </c>
      <c r="J185" s="56">
        <v>172</v>
      </c>
      <c r="K185" s="56">
        <v>125</v>
      </c>
      <c r="L185" s="56">
        <v>153</v>
      </c>
      <c r="M185" s="56">
        <v>170</v>
      </c>
    </row>
    <row r="186" spans="1:13" ht="12.75" hidden="1">
      <c r="A186" s="132"/>
      <c r="B186" s="137" t="s">
        <v>57</v>
      </c>
      <c r="C186" s="56">
        <v>125</v>
      </c>
      <c r="D186" s="56">
        <v>125</v>
      </c>
      <c r="E186" s="56">
        <v>186</v>
      </c>
      <c r="F186" s="56">
        <v>125</v>
      </c>
      <c r="G186" s="56">
        <v>165</v>
      </c>
      <c r="H186" s="56">
        <v>120</v>
      </c>
      <c r="I186" s="56">
        <v>144</v>
      </c>
      <c r="J186" s="56">
        <v>160</v>
      </c>
      <c r="K186" s="56">
        <v>116</v>
      </c>
      <c r="L186" s="56">
        <v>142</v>
      </c>
      <c r="M186" s="56">
        <v>159</v>
      </c>
    </row>
    <row r="187" spans="1:13" ht="13.5" hidden="1" thickBot="1">
      <c r="A187" s="133"/>
      <c r="B187" s="138" t="s">
        <v>59</v>
      </c>
      <c r="C187" s="58">
        <v>143</v>
      </c>
      <c r="D187" s="58">
        <v>143</v>
      </c>
      <c r="E187" s="58">
        <v>213</v>
      </c>
      <c r="F187" s="58">
        <v>143</v>
      </c>
      <c r="G187" s="58">
        <v>189</v>
      </c>
      <c r="H187" s="58">
        <v>135</v>
      </c>
      <c r="I187" s="58">
        <v>162</v>
      </c>
      <c r="J187" s="58">
        <v>180</v>
      </c>
      <c r="K187" s="58">
        <v>131</v>
      </c>
      <c r="L187" s="58">
        <v>160</v>
      </c>
      <c r="M187" s="58">
        <v>179</v>
      </c>
    </row>
    <row r="188" spans="1:13" ht="12.75">
      <c r="A188" s="275" t="s">
        <v>22</v>
      </c>
      <c r="B188" s="54" t="s">
        <v>23</v>
      </c>
      <c r="C188" s="174">
        <f aca="true" t="shared" si="51" ref="C188:M188">ROUND(C160*(1-$B$361),2)</f>
        <v>299</v>
      </c>
      <c r="D188" s="174">
        <f t="shared" si="51"/>
        <v>299</v>
      </c>
      <c r="E188" s="174">
        <f t="shared" si="51"/>
        <v>459</v>
      </c>
      <c r="F188" s="174">
        <f t="shared" si="51"/>
        <v>299</v>
      </c>
      <c r="G188" s="174">
        <f t="shared" si="51"/>
        <v>404</v>
      </c>
      <c r="H188" s="174">
        <f t="shared" si="51"/>
        <v>269</v>
      </c>
      <c r="I188" s="174">
        <f t="shared" si="51"/>
        <v>322</v>
      </c>
      <c r="J188" s="174">
        <f t="shared" si="51"/>
        <v>359</v>
      </c>
      <c r="K188" s="174">
        <f t="shared" si="51"/>
        <v>260</v>
      </c>
      <c r="L188" s="174">
        <f t="shared" si="51"/>
        <v>319</v>
      </c>
      <c r="M188" s="174">
        <f t="shared" si="51"/>
        <v>356</v>
      </c>
    </row>
    <row r="189" spans="1:13" ht="12.75">
      <c r="A189" s="276"/>
      <c r="B189" s="15" t="s">
        <v>24</v>
      </c>
      <c r="C189" s="12">
        <f aca="true" t="shared" si="52" ref="C189:M189">ROUND(C161*(1-$B$361),2)</f>
        <v>255</v>
      </c>
      <c r="D189" s="12">
        <f t="shared" si="52"/>
        <v>255</v>
      </c>
      <c r="E189" s="12">
        <f t="shared" si="52"/>
        <v>390</v>
      </c>
      <c r="F189" s="12">
        <f t="shared" si="52"/>
        <v>255</v>
      </c>
      <c r="G189" s="12">
        <f t="shared" si="52"/>
        <v>343</v>
      </c>
      <c r="H189" s="12">
        <f t="shared" si="52"/>
        <v>231</v>
      </c>
      <c r="I189" s="12">
        <f t="shared" si="52"/>
        <v>277</v>
      </c>
      <c r="J189" s="12">
        <f t="shared" si="52"/>
        <v>308</v>
      </c>
      <c r="K189" s="12">
        <f t="shared" si="52"/>
        <v>224</v>
      </c>
      <c r="L189" s="12">
        <f t="shared" si="52"/>
        <v>275</v>
      </c>
      <c r="M189" s="12">
        <f t="shared" si="52"/>
        <v>306</v>
      </c>
    </row>
    <row r="190" spans="1:13" ht="12.75">
      <c r="A190" s="276"/>
      <c r="B190" s="15" t="s">
        <v>26</v>
      </c>
      <c r="C190" s="12">
        <f aca="true" t="shared" si="53" ref="C190:M190">ROUND(C162*(1-$B$361),2)</f>
        <v>218</v>
      </c>
      <c r="D190" s="12">
        <f t="shared" si="53"/>
        <v>218</v>
      </c>
      <c r="E190" s="12">
        <f t="shared" si="53"/>
        <v>331</v>
      </c>
      <c r="F190" s="12">
        <f t="shared" si="53"/>
        <v>218</v>
      </c>
      <c r="G190" s="12">
        <f t="shared" si="53"/>
        <v>292</v>
      </c>
      <c r="H190" s="12">
        <f t="shared" si="53"/>
        <v>199</v>
      </c>
      <c r="I190" s="12">
        <f t="shared" si="53"/>
        <v>238</v>
      </c>
      <c r="J190" s="12">
        <f t="shared" si="53"/>
        <v>265</v>
      </c>
      <c r="K190" s="12">
        <f t="shared" si="53"/>
        <v>193</v>
      </c>
      <c r="L190" s="12">
        <f t="shared" si="53"/>
        <v>236</v>
      </c>
      <c r="M190" s="12">
        <f t="shared" si="53"/>
        <v>263</v>
      </c>
    </row>
    <row r="191" spans="1:13" ht="12.75">
      <c r="A191" s="276"/>
      <c r="B191" s="15" t="s">
        <v>364</v>
      </c>
      <c r="C191" s="12">
        <f aca="true" t="shared" si="54" ref="C191:M191">ROUND(C163*(1-$B$361),2)</f>
        <v>184</v>
      </c>
      <c r="D191" s="12">
        <f t="shared" si="54"/>
        <v>184</v>
      </c>
      <c r="E191" s="12">
        <f t="shared" si="54"/>
        <v>278</v>
      </c>
      <c r="F191" s="12">
        <f t="shared" si="54"/>
        <v>184</v>
      </c>
      <c r="G191" s="12">
        <f t="shared" si="54"/>
        <v>245</v>
      </c>
      <c r="H191" s="12">
        <f t="shared" si="54"/>
        <v>170</v>
      </c>
      <c r="I191" s="12">
        <f t="shared" si="54"/>
        <v>204</v>
      </c>
      <c r="J191" s="12">
        <f t="shared" si="54"/>
        <v>227</v>
      </c>
      <c r="K191" s="12">
        <f t="shared" si="54"/>
        <v>165</v>
      </c>
      <c r="L191" s="12">
        <f t="shared" si="54"/>
        <v>202</v>
      </c>
      <c r="M191" s="12">
        <f t="shared" si="54"/>
        <v>225</v>
      </c>
    </row>
    <row r="192" spans="1:13" ht="12.75">
      <c r="A192" s="276"/>
      <c r="B192" s="15" t="s">
        <v>365</v>
      </c>
      <c r="C192" s="12">
        <f aca="true" t="shared" si="55" ref="C192:M192">ROUND(C164*(1-$B$361),2)</f>
        <v>167</v>
      </c>
      <c r="D192" s="12">
        <f t="shared" si="55"/>
        <v>167</v>
      </c>
      <c r="E192" s="12">
        <f t="shared" si="55"/>
        <v>251</v>
      </c>
      <c r="F192" s="12">
        <f t="shared" si="55"/>
        <v>167</v>
      </c>
      <c r="G192" s="12">
        <f t="shared" si="55"/>
        <v>222</v>
      </c>
      <c r="H192" s="12">
        <f t="shared" si="55"/>
        <v>156</v>
      </c>
      <c r="I192" s="12">
        <f t="shared" si="55"/>
        <v>186</v>
      </c>
      <c r="J192" s="12">
        <f t="shared" si="55"/>
        <v>207</v>
      </c>
      <c r="K192" s="12">
        <f t="shared" si="55"/>
        <v>151</v>
      </c>
      <c r="L192" s="12">
        <f t="shared" si="55"/>
        <v>185</v>
      </c>
      <c r="M192" s="12">
        <f t="shared" si="55"/>
        <v>206</v>
      </c>
    </row>
    <row r="193" spans="1:13" ht="12.75">
      <c r="A193" s="276"/>
      <c r="B193" s="15" t="s">
        <v>356</v>
      </c>
      <c r="C193" s="12">
        <f aca="true" t="shared" si="56" ref="C193:M193">ROUND(C167*(1-$B$361),2)</f>
        <v>239</v>
      </c>
      <c r="D193" s="12">
        <f t="shared" si="56"/>
        <v>239</v>
      </c>
      <c r="E193" s="12">
        <f t="shared" si="56"/>
        <v>364</v>
      </c>
      <c r="F193" s="12">
        <f t="shared" si="56"/>
        <v>239</v>
      </c>
      <c r="G193" s="12">
        <f t="shared" si="56"/>
        <v>321</v>
      </c>
      <c r="H193" s="12">
        <f t="shared" si="56"/>
        <v>217</v>
      </c>
      <c r="I193" s="12">
        <f t="shared" si="56"/>
        <v>260</v>
      </c>
      <c r="J193" s="12">
        <f t="shared" si="56"/>
        <v>289</v>
      </c>
      <c r="K193" s="12">
        <f t="shared" si="56"/>
        <v>210</v>
      </c>
      <c r="L193" s="12">
        <f t="shared" si="56"/>
        <v>258</v>
      </c>
      <c r="M193" s="12">
        <f t="shared" si="56"/>
        <v>287</v>
      </c>
    </row>
    <row r="194" spans="1:13" ht="12.75">
      <c r="A194" s="276"/>
      <c r="B194" s="15" t="s">
        <v>357</v>
      </c>
      <c r="C194" s="12">
        <f aca="true" t="shared" si="57" ref="C194:M194">ROUND(C168*(1-$B$361),2)</f>
        <v>190</v>
      </c>
      <c r="D194" s="12">
        <f t="shared" si="57"/>
        <v>190</v>
      </c>
      <c r="E194" s="12">
        <f t="shared" si="57"/>
        <v>287</v>
      </c>
      <c r="F194" s="12">
        <f t="shared" si="57"/>
        <v>190</v>
      </c>
      <c r="G194" s="12">
        <f t="shared" si="57"/>
        <v>253</v>
      </c>
      <c r="H194" s="12">
        <f t="shared" si="57"/>
        <v>175</v>
      </c>
      <c r="I194" s="12">
        <f t="shared" si="57"/>
        <v>210</v>
      </c>
      <c r="J194" s="12">
        <f t="shared" si="57"/>
        <v>233</v>
      </c>
      <c r="K194" s="12">
        <f t="shared" si="57"/>
        <v>170</v>
      </c>
      <c r="L194" s="12">
        <f t="shared" si="57"/>
        <v>208</v>
      </c>
      <c r="M194" s="12">
        <f t="shared" si="57"/>
        <v>232</v>
      </c>
    </row>
    <row r="195" spans="1:13" ht="12.75">
      <c r="A195" s="276"/>
      <c r="B195" s="177" t="s">
        <v>347</v>
      </c>
      <c r="C195" s="12">
        <f aca="true" t="shared" si="58" ref="C195:M195">ROUND(C170*(1-$B$361),2)</f>
        <v>183</v>
      </c>
      <c r="D195" s="12">
        <f t="shared" si="58"/>
        <v>183</v>
      </c>
      <c r="E195" s="12">
        <f t="shared" si="58"/>
        <v>276</v>
      </c>
      <c r="F195" s="12">
        <f t="shared" si="58"/>
        <v>183</v>
      </c>
      <c r="G195" s="12">
        <f t="shared" si="58"/>
        <v>244</v>
      </c>
      <c r="H195" s="12">
        <f t="shared" si="58"/>
        <v>169</v>
      </c>
      <c r="I195" s="12">
        <f t="shared" si="58"/>
        <v>202</v>
      </c>
      <c r="J195" s="12">
        <f t="shared" si="58"/>
        <v>225</v>
      </c>
      <c r="K195" s="12">
        <f t="shared" si="58"/>
        <v>164</v>
      </c>
      <c r="L195" s="12">
        <f t="shared" si="58"/>
        <v>201</v>
      </c>
      <c r="M195" s="12">
        <f t="shared" si="58"/>
        <v>224</v>
      </c>
    </row>
    <row r="196" spans="1:13" ht="12.75">
      <c r="A196" s="276"/>
      <c r="B196" s="15" t="s">
        <v>342</v>
      </c>
      <c r="C196" s="12">
        <f aca="true" t="shared" si="59" ref="C196:M196">ROUND(C171*(1-$B$361),2)</f>
        <v>176</v>
      </c>
      <c r="D196" s="12">
        <f t="shared" si="59"/>
        <v>176</v>
      </c>
      <c r="E196" s="12">
        <f t="shared" si="59"/>
        <v>265</v>
      </c>
      <c r="F196" s="12">
        <f t="shared" si="59"/>
        <v>176</v>
      </c>
      <c r="G196" s="12">
        <f t="shared" si="59"/>
        <v>234</v>
      </c>
      <c r="H196" s="12">
        <f t="shared" si="59"/>
        <v>163</v>
      </c>
      <c r="I196" s="12">
        <f t="shared" si="59"/>
        <v>195</v>
      </c>
      <c r="J196" s="12">
        <f t="shared" si="59"/>
        <v>218</v>
      </c>
      <c r="K196" s="12">
        <f t="shared" si="59"/>
        <v>158</v>
      </c>
      <c r="L196" s="12">
        <f t="shared" si="59"/>
        <v>194</v>
      </c>
      <c r="M196" s="12">
        <f t="shared" si="59"/>
        <v>216</v>
      </c>
    </row>
    <row r="197" spans="1:13" ht="12.75">
      <c r="A197" s="276"/>
      <c r="B197" s="15" t="s">
        <v>235</v>
      </c>
      <c r="C197" s="12">
        <f aca="true" t="shared" si="60" ref="C197:M197">ROUND(C172*(1-$B$361),2)</f>
        <v>147</v>
      </c>
      <c r="D197" s="12">
        <f t="shared" si="60"/>
        <v>147</v>
      </c>
      <c r="E197" s="12">
        <f t="shared" si="60"/>
        <v>220</v>
      </c>
      <c r="F197" s="12">
        <f t="shared" si="60"/>
        <v>147</v>
      </c>
      <c r="G197" s="12">
        <f t="shared" si="60"/>
        <v>195</v>
      </c>
      <c r="H197" s="12">
        <f t="shared" si="60"/>
        <v>139</v>
      </c>
      <c r="I197" s="12">
        <f t="shared" si="60"/>
        <v>166</v>
      </c>
      <c r="J197" s="12">
        <f t="shared" si="60"/>
        <v>185</v>
      </c>
      <c r="K197" s="12">
        <f t="shared" si="60"/>
        <v>134</v>
      </c>
      <c r="L197" s="12">
        <f t="shared" si="60"/>
        <v>165</v>
      </c>
      <c r="M197" s="12">
        <f t="shared" si="60"/>
        <v>184</v>
      </c>
    </row>
    <row r="198" spans="1:13" ht="12.75">
      <c r="A198" s="277" t="s">
        <v>128</v>
      </c>
      <c r="B198" s="15" t="s">
        <v>142</v>
      </c>
      <c r="C198" s="12">
        <f aca="true" t="shared" si="61" ref="C198:M198">ROUND(C173*(1-$B$361),2)</f>
        <v>496</v>
      </c>
      <c r="D198" s="12">
        <f t="shared" si="61"/>
        <v>496</v>
      </c>
      <c r="E198" s="12">
        <f t="shared" si="61"/>
        <v>768</v>
      </c>
      <c r="F198" s="12">
        <f t="shared" si="61"/>
        <v>496</v>
      </c>
      <c r="G198" s="12">
        <f t="shared" si="61"/>
        <v>674</v>
      </c>
      <c r="H198" s="12">
        <f t="shared" si="61"/>
        <v>438</v>
      </c>
      <c r="I198" s="12">
        <f t="shared" si="61"/>
        <v>524</v>
      </c>
      <c r="J198" s="12">
        <f t="shared" si="61"/>
        <v>583</v>
      </c>
      <c r="K198" s="12">
        <f t="shared" si="61"/>
        <v>424</v>
      </c>
      <c r="L198" s="12">
        <f t="shared" si="61"/>
        <v>520</v>
      </c>
      <c r="M198" s="12">
        <f t="shared" si="61"/>
        <v>579</v>
      </c>
    </row>
    <row r="199" spans="1:13" ht="12.75">
      <c r="A199" s="278"/>
      <c r="B199" s="15" t="s">
        <v>38</v>
      </c>
      <c r="C199" s="12">
        <f aca="true" t="shared" si="62" ref="C199:M199">ROUND(C174*(1-$B$361),2)</f>
        <v>496</v>
      </c>
      <c r="D199" s="12">
        <f t="shared" si="62"/>
        <v>496</v>
      </c>
      <c r="E199" s="12">
        <f t="shared" si="62"/>
        <v>768</v>
      </c>
      <c r="F199" s="12">
        <f t="shared" si="62"/>
        <v>496</v>
      </c>
      <c r="G199" s="12">
        <f t="shared" si="62"/>
        <v>674</v>
      </c>
      <c r="H199" s="12">
        <f t="shared" si="62"/>
        <v>438</v>
      </c>
      <c r="I199" s="12">
        <f t="shared" si="62"/>
        <v>524</v>
      </c>
      <c r="J199" s="12">
        <f t="shared" si="62"/>
        <v>583</v>
      </c>
      <c r="K199" s="12">
        <f t="shared" si="62"/>
        <v>424</v>
      </c>
      <c r="L199" s="12">
        <f t="shared" si="62"/>
        <v>520</v>
      </c>
      <c r="M199" s="12">
        <f t="shared" si="62"/>
        <v>579</v>
      </c>
    </row>
    <row r="200" spans="1:13" ht="12.75">
      <c r="A200" s="278"/>
      <c r="B200" s="15" t="s">
        <v>130</v>
      </c>
      <c r="C200" s="12">
        <f aca="true" t="shared" si="63" ref="C200:M200">ROUND(C175*(1-$B$361),2)</f>
        <v>239</v>
      </c>
      <c r="D200" s="12">
        <f t="shared" si="63"/>
        <v>239</v>
      </c>
      <c r="E200" s="12">
        <f t="shared" si="63"/>
        <v>364</v>
      </c>
      <c r="F200" s="12">
        <f t="shared" si="63"/>
        <v>239</v>
      </c>
      <c r="G200" s="12">
        <f t="shared" si="63"/>
        <v>321</v>
      </c>
      <c r="H200" s="12">
        <f t="shared" si="63"/>
        <v>217</v>
      </c>
      <c r="I200" s="12">
        <f t="shared" si="63"/>
        <v>260</v>
      </c>
      <c r="J200" s="12">
        <f t="shared" si="63"/>
        <v>289</v>
      </c>
      <c r="K200" s="12">
        <f t="shared" si="63"/>
        <v>210</v>
      </c>
      <c r="L200" s="12">
        <f t="shared" si="63"/>
        <v>258</v>
      </c>
      <c r="M200" s="12">
        <f t="shared" si="63"/>
        <v>287</v>
      </c>
    </row>
    <row r="201" spans="1:13" ht="12.75">
      <c r="A201" s="278"/>
      <c r="B201" s="15" t="s">
        <v>355</v>
      </c>
      <c r="C201" s="12">
        <f aca="true" t="shared" si="64" ref="C201:M201">ROUND(C176*(1-$B$361),2)</f>
        <v>228</v>
      </c>
      <c r="D201" s="12">
        <f t="shared" si="64"/>
        <v>228</v>
      </c>
      <c r="E201" s="12">
        <f t="shared" si="64"/>
        <v>346</v>
      </c>
      <c r="F201" s="12">
        <f t="shared" si="64"/>
        <v>228</v>
      </c>
      <c r="G201" s="12">
        <f t="shared" si="64"/>
        <v>305</v>
      </c>
      <c r="H201" s="12">
        <f t="shared" si="64"/>
        <v>208</v>
      </c>
      <c r="I201" s="12">
        <f t="shared" si="64"/>
        <v>249</v>
      </c>
      <c r="J201" s="12">
        <f t="shared" si="64"/>
        <v>277</v>
      </c>
      <c r="K201" s="12">
        <f t="shared" si="64"/>
        <v>201</v>
      </c>
      <c r="L201" s="12">
        <f t="shared" si="64"/>
        <v>246</v>
      </c>
      <c r="M201" s="12">
        <f t="shared" si="64"/>
        <v>275</v>
      </c>
    </row>
    <row r="202" spans="1:13" ht="12.75">
      <c r="A202" s="278"/>
      <c r="B202" s="15" t="s">
        <v>41</v>
      </c>
      <c r="C202" s="12">
        <f aca="true" t="shared" si="65" ref="C202:M202">ROUND(C177*(1-$B$361),2)</f>
        <v>216</v>
      </c>
      <c r="D202" s="12">
        <f t="shared" si="65"/>
        <v>216</v>
      </c>
      <c r="E202" s="12">
        <f t="shared" si="65"/>
        <v>328</v>
      </c>
      <c r="F202" s="12">
        <f t="shared" si="65"/>
        <v>216</v>
      </c>
      <c r="G202" s="12">
        <f t="shared" si="65"/>
        <v>290</v>
      </c>
      <c r="H202" s="12">
        <f t="shared" si="65"/>
        <v>198</v>
      </c>
      <c r="I202" s="12">
        <f t="shared" si="65"/>
        <v>237</v>
      </c>
      <c r="J202" s="12">
        <f t="shared" si="65"/>
        <v>264</v>
      </c>
      <c r="K202" s="12">
        <f t="shared" si="65"/>
        <v>192</v>
      </c>
      <c r="L202" s="12">
        <f t="shared" si="65"/>
        <v>235</v>
      </c>
      <c r="M202" s="12">
        <f t="shared" si="65"/>
        <v>262</v>
      </c>
    </row>
    <row r="203" spans="1:13" ht="12.75">
      <c r="A203" s="278"/>
      <c r="B203" s="15" t="s">
        <v>354</v>
      </c>
      <c r="C203" s="12">
        <f aca="true" t="shared" si="66" ref="C203:M203">ROUND(C178*(1-$B$361),2)</f>
        <v>195</v>
      </c>
      <c r="D203" s="12">
        <f t="shared" si="66"/>
        <v>195</v>
      </c>
      <c r="E203" s="12">
        <f t="shared" si="66"/>
        <v>295</v>
      </c>
      <c r="F203" s="12">
        <f t="shared" si="66"/>
        <v>195</v>
      </c>
      <c r="G203" s="12">
        <f t="shared" si="66"/>
        <v>261</v>
      </c>
      <c r="H203" s="12">
        <f t="shared" si="66"/>
        <v>180</v>
      </c>
      <c r="I203" s="12">
        <f t="shared" si="66"/>
        <v>215</v>
      </c>
      <c r="J203" s="12">
        <f t="shared" si="66"/>
        <v>239</v>
      </c>
      <c r="K203" s="12">
        <f t="shared" si="66"/>
        <v>174</v>
      </c>
      <c r="L203" s="12">
        <f t="shared" si="66"/>
        <v>213</v>
      </c>
      <c r="M203" s="12">
        <f t="shared" si="66"/>
        <v>238</v>
      </c>
    </row>
    <row r="204" spans="1:13" ht="12.75">
      <c r="A204" s="278"/>
      <c r="B204" s="15" t="s">
        <v>44</v>
      </c>
      <c r="C204" s="12">
        <f aca="true" t="shared" si="67" ref="C204:M204">ROUND(C179*(1-$B$361),2)</f>
        <v>178</v>
      </c>
      <c r="D204" s="12">
        <f t="shared" si="67"/>
        <v>178</v>
      </c>
      <c r="E204" s="12">
        <f t="shared" si="67"/>
        <v>269</v>
      </c>
      <c r="F204" s="12">
        <f t="shared" si="67"/>
        <v>178</v>
      </c>
      <c r="G204" s="12">
        <f t="shared" si="67"/>
        <v>238</v>
      </c>
      <c r="H204" s="12">
        <f t="shared" si="67"/>
        <v>165</v>
      </c>
      <c r="I204" s="12">
        <f t="shared" si="67"/>
        <v>198</v>
      </c>
      <c r="J204" s="12">
        <f t="shared" si="67"/>
        <v>220</v>
      </c>
      <c r="K204" s="12">
        <f t="shared" si="67"/>
        <v>160</v>
      </c>
      <c r="L204" s="12">
        <f t="shared" si="67"/>
        <v>196</v>
      </c>
      <c r="M204" s="12">
        <f t="shared" si="67"/>
        <v>219</v>
      </c>
    </row>
    <row r="205" spans="1:13" ht="12.75">
      <c r="A205" s="278"/>
      <c r="B205" s="177" t="s">
        <v>358</v>
      </c>
      <c r="C205" s="12">
        <f aca="true" t="shared" si="68" ref="C205:M205">ROUND(C180*(1-$B$361),2)</f>
        <v>175</v>
      </c>
      <c r="D205" s="12">
        <f t="shared" si="68"/>
        <v>175</v>
      </c>
      <c r="E205" s="12">
        <f t="shared" si="68"/>
        <v>264</v>
      </c>
      <c r="F205" s="12">
        <f t="shared" si="68"/>
        <v>175</v>
      </c>
      <c r="G205" s="12">
        <f t="shared" si="68"/>
        <v>233</v>
      </c>
      <c r="H205" s="12">
        <f t="shared" si="68"/>
        <v>162</v>
      </c>
      <c r="I205" s="12">
        <f t="shared" si="68"/>
        <v>195</v>
      </c>
      <c r="J205" s="12">
        <f t="shared" si="68"/>
        <v>217</v>
      </c>
      <c r="K205" s="12">
        <f t="shared" si="68"/>
        <v>157</v>
      </c>
      <c r="L205" s="12">
        <f t="shared" si="68"/>
        <v>193</v>
      </c>
      <c r="M205" s="12">
        <f t="shared" si="68"/>
        <v>215</v>
      </c>
    </row>
    <row r="206" spans="1:13" ht="12.75">
      <c r="A206" s="278"/>
      <c r="B206" s="15" t="s">
        <v>141</v>
      </c>
      <c r="C206" s="12">
        <f aca="true" t="shared" si="69" ref="C206:M206">ROUND(C181*(1-$B$361),2)</f>
        <v>171</v>
      </c>
      <c r="D206" s="12">
        <f t="shared" si="69"/>
        <v>171</v>
      </c>
      <c r="E206" s="12">
        <f t="shared" si="69"/>
        <v>257</v>
      </c>
      <c r="F206" s="12">
        <f t="shared" si="69"/>
        <v>171</v>
      </c>
      <c r="G206" s="12">
        <f t="shared" si="69"/>
        <v>228</v>
      </c>
      <c r="H206" s="12">
        <f t="shared" si="69"/>
        <v>159</v>
      </c>
      <c r="I206" s="12">
        <f t="shared" si="69"/>
        <v>190</v>
      </c>
      <c r="J206" s="12">
        <f t="shared" si="69"/>
        <v>212</v>
      </c>
      <c r="K206" s="12">
        <f t="shared" si="69"/>
        <v>154</v>
      </c>
      <c r="L206" s="12">
        <f t="shared" si="69"/>
        <v>189</v>
      </c>
      <c r="M206" s="12">
        <f t="shared" si="69"/>
        <v>210</v>
      </c>
    </row>
    <row r="207" spans="1:13" ht="12.75">
      <c r="A207" s="278"/>
      <c r="B207" s="15" t="s">
        <v>48</v>
      </c>
      <c r="C207" s="12">
        <f aca="true" t="shared" si="70" ref="C207:M207">ROUND(C182*(1-$B$361),2)</f>
        <v>148</v>
      </c>
      <c r="D207" s="12">
        <f t="shared" si="70"/>
        <v>148</v>
      </c>
      <c r="E207" s="12">
        <f t="shared" si="70"/>
        <v>221</v>
      </c>
      <c r="F207" s="12">
        <f t="shared" si="70"/>
        <v>148</v>
      </c>
      <c r="G207" s="12">
        <f t="shared" si="70"/>
        <v>196</v>
      </c>
      <c r="H207" s="12">
        <f t="shared" si="70"/>
        <v>139</v>
      </c>
      <c r="I207" s="12">
        <f t="shared" si="70"/>
        <v>166</v>
      </c>
      <c r="J207" s="12">
        <f t="shared" si="70"/>
        <v>185</v>
      </c>
      <c r="K207" s="12">
        <f t="shared" si="70"/>
        <v>135</v>
      </c>
      <c r="L207" s="12">
        <f t="shared" si="70"/>
        <v>165</v>
      </c>
      <c r="M207" s="12">
        <f t="shared" si="70"/>
        <v>184</v>
      </c>
    </row>
    <row r="208" spans="1:13" ht="12.75">
      <c r="A208" s="278"/>
      <c r="B208" s="15" t="s">
        <v>50</v>
      </c>
      <c r="C208" s="56" t="s">
        <v>28</v>
      </c>
      <c r="D208" s="56" t="s">
        <v>28</v>
      </c>
      <c r="E208" s="56" t="s">
        <v>28</v>
      </c>
      <c r="F208" s="56" t="s">
        <v>28</v>
      </c>
      <c r="G208" s="56" t="s">
        <v>28</v>
      </c>
      <c r="H208" s="56" t="s">
        <v>28</v>
      </c>
      <c r="I208" s="56" t="s">
        <v>28</v>
      </c>
      <c r="J208" s="56" t="s">
        <v>28</v>
      </c>
      <c r="K208" s="56" t="s">
        <v>28</v>
      </c>
      <c r="L208" s="56" t="s">
        <v>28</v>
      </c>
      <c r="M208" s="56" t="s">
        <v>28</v>
      </c>
    </row>
    <row r="209" spans="1:13" ht="12.75">
      <c r="A209" s="278"/>
      <c r="B209" s="15" t="s">
        <v>52</v>
      </c>
      <c r="C209" s="56" t="s">
        <v>28</v>
      </c>
      <c r="D209" s="56" t="s">
        <v>28</v>
      </c>
      <c r="E209" s="56" t="s">
        <v>28</v>
      </c>
      <c r="F209" s="56" t="s">
        <v>28</v>
      </c>
      <c r="G209" s="12">
        <f aca="true" t="shared" si="71" ref="G209:M212">ROUND(G184*(1-$B$361),2)</f>
        <v>261</v>
      </c>
      <c r="H209" s="12">
        <f t="shared" si="71"/>
        <v>180</v>
      </c>
      <c r="I209" s="12">
        <f t="shared" si="71"/>
        <v>216</v>
      </c>
      <c r="J209" s="12">
        <f t="shared" si="71"/>
        <v>240</v>
      </c>
      <c r="K209" s="12">
        <f t="shared" si="71"/>
        <v>174</v>
      </c>
      <c r="L209" s="12">
        <f t="shared" si="71"/>
        <v>214</v>
      </c>
      <c r="M209" s="12">
        <f t="shared" si="71"/>
        <v>238</v>
      </c>
    </row>
    <row r="210" spans="1:13" ht="12.75">
      <c r="A210" s="279"/>
      <c r="B210" s="15" t="s">
        <v>54</v>
      </c>
      <c r="C210" s="12">
        <f aca="true" t="shared" si="72" ref="C210:F212">ROUND(C185*(1-$B$361),2)</f>
        <v>136</v>
      </c>
      <c r="D210" s="12">
        <f t="shared" si="72"/>
        <v>136</v>
      </c>
      <c r="E210" s="12">
        <f t="shared" si="72"/>
        <v>202</v>
      </c>
      <c r="F210" s="12">
        <f t="shared" si="72"/>
        <v>136</v>
      </c>
      <c r="G210" s="12">
        <f t="shared" si="71"/>
        <v>179</v>
      </c>
      <c r="H210" s="12">
        <f t="shared" si="71"/>
        <v>129</v>
      </c>
      <c r="I210" s="12">
        <f t="shared" si="71"/>
        <v>154</v>
      </c>
      <c r="J210" s="12">
        <f t="shared" si="71"/>
        <v>172</v>
      </c>
      <c r="K210" s="12">
        <f t="shared" si="71"/>
        <v>125</v>
      </c>
      <c r="L210" s="12">
        <f t="shared" si="71"/>
        <v>153</v>
      </c>
      <c r="M210" s="12">
        <f t="shared" si="71"/>
        <v>170</v>
      </c>
    </row>
    <row r="211" spans="1:13" ht="12.75">
      <c r="A211" s="268" t="s">
        <v>56</v>
      </c>
      <c r="B211" s="97" t="s">
        <v>57</v>
      </c>
      <c r="C211" s="12">
        <f t="shared" si="72"/>
        <v>125</v>
      </c>
      <c r="D211" s="12">
        <f t="shared" si="72"/>
        <v>125</v>
      </c>
      <c r="E211" s="12">
        <f t="shared" si="72"/>
        <v>186</v>
      </c>
      <c r="F211" s="12">
        <f t="shared" si="72"/>
        <v>125</v>
      </c>
      <c r="G211" s="12">
        <f t="shared" si="71"/>
        <v>165</v>
      </c>
      <c r="H211" s="12">
        <f t="shared" si="71"/>
        <v>120</v>
      </c>
      <c r="I211" s="12">
        <f t="shared" si="71"/>
        <v>144</v>
      </c>
      <c r="J211" s="12">
        <f t="shared" si="71"/>
        <v>160</v>
      </c>
      <c r="K211" s="12">
        <f t="shared" si="71"/>
        <v>116</v>
      </c>
      <c r="L211" s="12">
        <f t="shared" si="71"/>
        <v>142</v>
      </c>
      <c r="M211" s="12">
        <f t="shared" si="71"/>
        <v>159</v>
      </c>
    </row>
    <row r="212" spans="1:13" ht="13.5" thickBot="1">
      <c r="A212" s="269"/>
      <c r="B212" s="131" t="s">
        <v>59</v>
      </c>
      <c r="C212" s="12">
        <f t="shared" si="72"/>
        <v>143</v>
      </c>
      <c r="D212" s="12">
        <f t="shared" si="72"/>
        <v>143</v>
      </c>
      <c r="E212" s="12">
        <f t="shared" si="72"/>
        <v>213</v>
      </c>
      <c r="F212" s="12">
        <f t="shared" si="72"/>
        <v>143</v>
      </c>
      <c r="G212" s="12">
        <f t="shared" si="71"/>
        <v>189</v>
      </c>
      <c r="H212" s="12">
        <f t="shared" si="71"/>
        <v>135</v>
      </c>
      <c r="I212" s="12">
        <f t="shared" si="71"/>
        <v>162</v>
      </c>
      <c r="J212" s="12">
        <f t="shared" si="71"/>
        <v>180</v>
      </c>
      <c r="K212" s="12">
        <f t="shared" si="71"/>
        <v>131</v>
      </c>
      <c r="L212" s="12">
        <f t="shared" si="71"/>
        <v>160</v>
      </c>
      <c r="M212" s="12">
        <f t="shared" si="71"/>
        <v>179</v>
      </c>
    </row>
    <row r="213" spans="2:12" ht="12.75"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</row>
    <row r="215" spans="15:19" ht="12.75">
      <c r="O215" s="7"/>
      <c r="P215" s="7"/>
      <c r="Q215" s="7"/>
      <c r="R215" s="21"/>
      <c r="S215" s="22"/>
    </row>
    <row r="216" spans="1:23" ht="25.5">
      <c r="A216" s="162" t="s">
        <v>66</v>
      </c>
      <c r="B216" s="129" t="s">
        <v>103</v>
      </c>
      <c r="C216" s="129" t="s">
        <v>104</v>
      </c>
      <c r="D216" s="129" t="s">
        <v>105</v>
      </c>
      <c r="O216" s="267" t="s">
        <v>179</v>
      </c>
      <c r="P216" s="130" t="s">
        <v>66</v>
      </c>
      <c r="Q216" s="130" t="s">
        <v>67</v>
      </c>
      <c r="R216" s="130" t="s">
        <v>68</v>
      </c>
      <c r="S216" s="130" t="s">
        <v>69</v>
      </c>
      <c r="W216" s="11"/>
    </row>
    <row r="217" spans="1:23" ht="12.75" hidden="1">
      <c r="A217" s="148" t="s">
        <v>131</v>
      </c>
      <c r="B217" s="29"/>
      <c r="C217" s="147">
        <v>1.3</v>
      </c>
      <c r="D217" s="51"/>
      <c r="O217" s="267"/>
      <c r="P217" s="130"/>
      <c r="Q217" s="130"/>
      <c r="R217" s="130"/>
      <c r="S217" s="130"/>
      <c r="W217" s="11"/>
    </row>
    <row r="218" spans="1:23" ht="12.75" hidden="1">
      <c r="A218" s="148" t="s">
        <v>131</v>
      </c>
      <c r="B218" s="29"/>
      <c r="C218" s="147">
        <v>3.16</v>
      </c>
      <c r="D218" s="51"/>
      <c r="O218" s="267"/>
      <c r="P218" s="130"/>
      <c r="Q218" s="130"/>
      <c r="R218" s="130"/>
      <c r="S218" s="130"/>
      <c r="W218" s="11"/>
    </row>
    <row r="219" spans="1:23" ht="12.75" hidden="1">
      <c r="A219" s="149" t="s">
        <v>106</v>
      </c>
      <c r="B219" s="29"/>
      <c r="C219" s="147">
        <v>1.2</v>
      </c>
      <c r="D219" s="51"/>
      <c r="O219" s="267"/>
      <c r="P219" s="130"/>
      <c r="Q219" s="130"/>
      <c r="R219" s="130"/>
      <c r="S219" s="130"/>
      <c r="W219" s="11"/>
    </row>
    <row r="220" spans="1:23" ht="12.75" hidden="1">
      <c r="A220" s="149" t="s">
        <v>106</v>
      </c>
      <c r="B220" s="29"/>
      <c r="C220" s="147">
        <v>2.76</v>
      </c>
      <c r="D220" s="51"/>
      <c r="O220" s="267"/>
      <c r="P220" s="130"/>
      <c r="Q220" s="130"/>
      <c r="R220" s="130"/>
      <c r="S220" s="130"/>
      <c r="W220" s="11"/>
    </row>
    <row r="221" spans="1:23" ht="12.75" hidden="1">
      <c r="A221" s="148" t="s">
        <v>176</v>
      </c>
      <c r="B221" s="29"/>
      <c r="C221" s="147">
        <v>2.84</v>
      </c>
      <c r="D221" s="51"/>
      <c r="O221" s="267"/>
      <c r="P221" s="130"/>
      <c r="Q221" s="130"/>
      <c r="R221" s="130"/>
      <c r="S221" s="130"/>
      <c r="W221" s="11"/>
    </row>
    <row r="222" spans="1:23" ht="12.75" hidden="1">
      <c r="A222" s="148" t="s">
        <v>110</v>
      </c>
      <c r="B222" s="29"/>
      <c r="C222" s="147">
        <v>4.71</v>
      </c>
      <c r="D222" s="51"/>
      <c r="O222" s="267"/>
      <c r="P222" s="130"/>
      <c r="Q222" s="130"/>
      <c r="R222" s="130"/>
      <c r="S222" s="130"/>
      <c r="W222" s="11"/>
    </row>
    <row r="223" spans="1:23" ht="12.75" hidden="1">
      <c r="A223" s="148" t="s">
        <v>112</v>
      </c>
      <c r="B223" s="29"/>
      <c r="C223" s="147">
        <v>3.57</v>
      </c>
      <c r="D223" s="51"/>
      <c r="O223" s="267"/>
      <c r="P223" s="130"/>
      <c r="Q223" s="130"/>
      <c r="R223" s="130"/>
      <c r="S223" s="130"/>
      <c r="W223" s="11"/>
    </row>
    <row r="224" spans="1:23" ht="12.75">
      <c r="A224" s="47" t="s">
        <v>131</v>
      </c>
      <c r="B224" s="29" t="s">
        <v>107</v>
      </c>
      <c r="C224" s="12">
        <f aca="true" t="shared" si="73" ref="C224:C230">ROUND(C217*(1-$B$363),3)</f>
        <v>1.3</v>
      </c>
      <c r="D224" s="51" t="str">
        <f>C224*200&amp;" (200 шт)"</f>
        <v>260 (200 шт)</v>
      </c>
      <c r="E224" s="28"/>
      <c r="F224" s="28"/>
      <c r="O224" s="267"/>
      <c r="P224" s="249" t="s">
        <v>184</v>
      </c>
      <c r="Q224" s="249" t="s">
        <v>75</v>
      </c>
      <c r="R224" s="24" t="s">
        <v>180</v>
      </c>
      <c r="S224" s="169">
        <f aca="true" t="shared" si="74" ref="S224:S247">ROUND(W224*(1-$B$362),2)</f>
        <v>25379</v>
      </c>
      <c r="W224" s="64">
        <v>25379</v>
      </c>
    </row>
    <row r="225" spans="1:23" ht="12.75">
      <c r="A225" s="47" t="s">
        <v>131</v>
      </c>
      <c r="B225" s="29" t="s">
        <v>108</v>
      </c>
      <c r="C225" s="12">
        <f t="shared" si="73"/>
        <v>3.16</v>
      </c>
      <c r="D225" s="51" t="str">
        <f>C225*200&amp;" (200 шт)"</f>
        <v>632 (200 шт)</v>
      </c>
      <c r="F225" s="28"/>
      <c r="O225" s="267"/>
      <c r="P225" s="249"/>
      <c r="Q225" s="249"/>
      <c r="R225" s="24" t="s">
        <v>181</v>
      </c>
      <c r="S225" s="169">
        <f t="shared" si="74"/>
        <v>27345</v>
      </c>
      <c r="W225" s="64">
        <v>27345</v>
      </c>
    </row>
    <row r="226" spans="1:23" ht="12.75">
      <c r="A226" s="49" t="s">
        <v>106</v>
      </c>
      <c r="B226" s="29" t="s">
        <v>107</v>
      </c>
      <c r="C226" s="12">
        <f t="shared" si="73"/>
        <v>1.2</v>
      </c>
      <c r="D226" s="51" t="str">
        <f>C226*200&amp;" (200 шт)"</f>
        <v>240 (200 шт)</v>
      </c>
      <c r="F226" s="28"/>
      <c r="O226" s="267"/>
      <c r="P226" s="249"/>
      <c r="Q226" s="249"/>
      <c r="R226" s="24" t="s">
        <v>78</v>
      </c>
      <c r="S226" s="169">
        <f t="shared" si="74"/>
        <v>28541</v>
      </c>
      <c r="W226" s="64">
        <v>28541</v>
      </c>
    </row>
    <row r="227" spans="1:23" ht="12.75">
      <c r="A227" s="49" t="s">
        <v>106</v>
      </c>
      <c r="B227" s="29" t="s">
        <v>108</v>
      </c>
      <c r="C227" s="12">
        <f t="shared" si="73"/>
        <v>2.76</v>
      </c>
      <c r="D227" s="51" t="str">
        <f>C227*200&amp;" (200 шт)"</f>
        <v>552 (200 шт)</v>
      </c>
      <c r="F227" s="28"/>
      <c r="O227" s="267"/>
      <c r="P227" s="249" t="s">
        <v>185</v>
      </c>
      <c r="Q227" s="249"/>
      <c r="R227" s="24" t="s">
        <v>182</v>
      </c>
      <c r="S227" s="169">
        <f t="shared" si="74"/>
        <v>46988</v>
      </c>
      <c r="T227" s="64"/>
      <c r="U227" s="64"/>
      <c r="W227" s="64">
        <v>46988</v>
      </c>
    </row>
    <row r="228" spans="1:23" ht="12.75">
      <c r="A228" s="47" t="s">
        <v>176</v>
      </c>
      <c r="B228" s="29" t="s">
        <v>177</v>
      </c>
      <c r="C228" s="12">
        <f t="shared" si="73"/>
        <v>2.84</v>
      </c>
      <c r="D228" s="51" t="str">
        <f>C228*1000&amp;" (1000 шт)"</f>
        <v>2840 (1000 шт)</v>
      </c>
      <c r="F228" s="28"/>
      <c r="O228" s="267"/>
      <c r="P228" s="249"/>
      <c r="Q228" s="249"/>
      <c r="R228" s="24" t="s">
        <v>183</v>
      </c>
      <c r="S228" s="169">
        <f t="shared" si="74"/>
        <v>48410</v>
      </c>
      <c r="T228" s="64"/>
      <c r="U228" s="64"/>
      <c r="W228" s="64">
        <v>48410</v>
      </c>
    </row>
    <row r="229" spans="1:23" ht="12.75">
      <c r="A229" s="47" t="s">
        <v>110</v>
      </c>
      <c r="B229" s="30" t="s">
        <v>111</v>
      </c>
      <c r="C229" s="12">
        <f t="shared" si="73"/>
        <v>4.71</v>
      </c>
      <c r="D229" s="51" t="str">
        <f>C229*1400&amp;" (1400 шт)"</f>
        <v>6594 (1400 шт)</v>
      </c>
      <c r="F229" s="28"/>
      <c r="O229" s="267"/>
      <c r="P229" s="249"/>
      <c r="Q229" s="249"/>
      <c r="R229" s="24" t="s">
        <v>84</v>
      </c>
      <c r="S229" s="169">
        <f t="shared" si="74"/>
        <v>56765</v>
      </c>
      <c r="T229" s="64"/>
      <c r="U229" s="64"/>
      <c r="W229" s="64">
        <v>56765</v>
      </c>
    </row>
    <row r="230" spans="1:23" ht="12.75">
      <c r="A230" s="47" t="s">
        <v>112</v>
      </c>
      <c r="B230" s="30" t="s">
        <v>28</v>
      </c>
      <c r="C230" s="12">
        <f t="shared" si="73"/>
        <v>3.57</v>
      </c>
      <c r="D230" s="51" t="str">
        <f>C230*500&amp;" (500 шт)"</f>
        <v>1785 (500 шт)</v>
      </c>
      <c r="F230" s="28"/>
      <c r="O230" s="267"/>
      <c r="P230" s="249" t="s">
        <v>186</v>
      </c>
      <c r="Q230" s="249"/>
      <c r="R230" s="24" t="s">
        <v>188</v>
      </c>
      <c r="S230" s="169">
        <f t="shared" si="74"/>
        <v>79329</v>
      </c>
      <c r="T230" s="64"/>
      <c r="U230" s="64"/>
      <c r="W230" s="64">
        <v>79329</v>
      </c>
    </row>
    <row r="231" spans="15:23" ht="12.75">
      <c r="O231" s="267"/>
      <c r="P231" s="249"/>
      <c r="Q231" s="249"/>
      <c r="R231" s="24" t="s">
        <v>189</v>
      </c>
      <c r="S231" s="169">
        <f t="shared" si="74"/>
        <v>83626</v>
      </c>
      <c r="T231" s="64"/>
      <c r="U231" s="64"/>
      <c r="W231" s="64">
        <v>83626</v>
      </c>
    </row>
    <row r="232" spans="15:23" ht="12.75">
      <c r="O232" s="267"/>
      <c r="P232" s="249"/>
      <c r="Q232" s="249"/>
      <c r="R232" s="24" t="s">
        <v>190</v>
      </c>
      <c r="S232" s="169">
        <f t="shared" si="74"/>
        <v>94320</v>
      </c>
      <c r="T232" s="64"/>
      <c r="U232" s="64"/>
      <c r="W232" s="64">
        <v>94320</v>
      </c>
    </row>
    <row r="233" spans="15:23" ht="12.75">
      <c r="O233" s="267"/>
      <c r="P233" s="249"/>
      <c r="Q233" s="249"/>
      <c r="R233" s="24" t="s">
        <v>191</v>
      </c>
      <c r="S233" s="169">
        <f t="shared" si="74"/>
        <v>81782</v>
      </c>
      <c r="T233" s="64"/>
      <c r="U233" s="64"/>
      <c r="W233" s="64">
        <v>81782</v>
      </c>
    </row>
    <row r="234" spans="15:23" ht="12.75">
      <c r="O234" s="267"/>
      <c r="P234" s="249"/>
      <c r="Q234" s="249"/>
      <c r="R234" s="24" t="s">
        <v>192</v>
      </c>
      <c r="S234" s="169">
        <f t="shared" si="74"/>
        <v>86213</v>
      </c>
      <c r="T234" s="64"/>
      <c r="U234" s="64"/>
      <c r="W234" s="64">
        <v>86213</v>
      </c>
    </row>
    <row r="235" spans="15:23" ht="12.75">
      <c r="O235" s="267"/>
      <c r="P235" s="249"/>
      <c r="Q235" s="249"/>
      <c r="R235" s="24" t="s">
        <v>193</v>
      </c>
      <c r="S235" s="169">
        <f t="shared" si="74"/>
        <v>97237</v>
      </c>
      <c r="T235" s="64"/>
      <c r="U235" s="64"/>
      <c r="W235" s="64">
        <v>97237</v>
      </c>
    </row>
    <row r="236" spans="15:23" ht="12.75">
      <c r="O236" s="267"/>
      <c r="P236" s="249"/>
      <c r="Q236" s="249"/>
      <c r="R236" s="24" t="s">
        <v>93</v>
      </c>
      <c r="S236" s="169">
        <f t="shared" si="74"/>
        <v>87909</v>
      </c>
      <c r="T236" s="64"/>
      <c r="U236" s="64"/>
      <c r="W236" s="64">
        <v>87909</v>
      </c>
    </row>
    <row r="237" spans="15:23" ht="12.75">
      <c r="O237" s="267"/>
      <c r="P237" s="249"/>
      <c r="Q237" s="249"/>
      <c r="R237" s="24" t="s">
        <v>96</v>
      </c>
      <c r="S237" s="169">
        <f t="shared" si="74"/>
        <v>92254</v>
      </c>
      <c r="T237" s="64"/>
      <c r="U237" s="64"/>
      <c r="W237" s="64">
        <v>92254</v>
      </c>
    </row>
    <row r="238" spans="15:23" ht="12.75">
      <c r="O238" s="267"/>
      <c r="P238" s="249"/>
      <c r="Q238" s="249"/>
      <c r="R238" s="24" t="s">
        <v>98</v>
      </c>
      <c r="S238" s="169">
        <f t="shared" si="74"/>
        <v>103795</v>
      </c>
      <c r="T238" s="64"/>
      <c r="U238" s="64"/>
      <c r="V238" s="20"/>
      <c r="W238" s="64">
        <v>103795</v>
      </c>
    </row>
    <row r="239" spans="15:23" ht="12.75">
      <c r="O239" s="267"/>
      <c r="P239" s="250" t="s">
        <v>194</v>
      </c>
      <c r="Q239" s="249"/>
      <c r="R239" s="24" t="s">
        <v>188</v>
      </c>
      <c r="S239" s="169">
        <f t="shared" si="74"/>
        <v>68569</v>
      </c>
      <c r="T239" s="64"/>
      <c r="U239" s="64"/>
      <c r="V239" s="20"/>
      <c r="W239" s="64">
        <v>68569</v>
      </c>
    </row>
    <row r="240" spans="15:23" ht="12.75">
      <c r="O240" s="267"/>
      <c r="P240" s="250"/>
      <c r="Q240" s="249"/>
      <c r="R240" s="24" t="s">
        <v>189</v>
      </c>
      <c r="S240" s="169">
        <f t="shared" si="74"/>
        <v>72854</v>
      </c>
      <c r="T240" s="64"/>
      <c r="U240" s="64"/>
      <c r="V240" s="20"/>
      <c r="W240" s="64">
        <v>72854</v>
      </c>
    </row>
    <row r="241" spans="15:23" ht="12.75">
      <c r="O241" s="267"/>
      <c r="P241" s="250"/>
      <c r="Q241" s="249"/>
      <c r="R241" s="24" t="s">
        <v>190</v>
      </c>
      <c r="S241" s="169">
        <f t="shared" si="74"/>
        <v>83560</v>
      </c>
      <c r="T241" s="64"/>
      <c r="U241" s="64"/>
      <c r="V241" s="20"/>
      <c r="W241" s="64">
        <v>83560</v>
      </c>
    </row>
    <row r="242" spans="15:23" ht="12.75">
      <c r="O242" s="267"/>
      <c r="P242" s="250"/>
      <c r="Q242" s="249"/>
      <c r="R242" s="24" t="s">
        <v>191</v>
      </c>
      <c r="S242" s="169">
        <f t="shared" si="74"/>
        <v>70689</v>
      </c>
      <c r="T242" s="64"/>
      <c r="U242" s="64"/>
      <c r="V242" s="20"/>
      <c r="W242" s="64">
        <v>70689</v>
      </c>
    </row>
    <row r="243" spans="15:23" ht="12.75">
      <c r="O243" s="267"/>
      <c r="P243" s="250"/>
      <c r="Q243" s="249"/>
      <c r="R243" s="24" t="s">
        <v>192</v>
      </c>
      <c r="S243" s="169">
        <f t="shared" si="74"/>
        <v>75119</v>
      </c>
      <c r="T243" s="64"/>
      <c r="U243" s="64"/>
      <c r="V243" s="20"/>
      <c r="W243" s="64">
        <v>75119</v>
      </c>
    </row>
    <row r="244" spans="15:23" ht="12.75">
      <c r="O244" s="267"/>
      <c r="P244" s="250"/>
      <c r="Q244" s="249"/>
      <c r="R244" s="24" t="s">
        <v>193</v>
      </c>
      <c r="S244" s="169">
        <f t="shared" si="74"/>
        <v>86144</v>
      </c>
      <c r="T244" s="64"/>
      <c r="U244" s="64"/>
      <c r="V244" s="20"/>
      <c r="W244" s="64">
        <v>86144</v>
      </c>
    </row>
    <row r="245" spans="15:23" ht="12.75">
      <c r="O245" s="267"/>
      <c r="P245" s="250"/>
      <c r="Q245" s="249"/>
      <c r="R245" s="24" t="s">
        <v>93</v>
      </c>
      <c r="S245" s="169">
        <f t="shared" si="74"/>
        <v>75364</v>
      </c>
      <c r="T245" s="64"/>
      <c r="U245" s="64"/>
      <c r="W245" s="64">
        <v>75364</v>
      </c>
    </row>
    <row r="246" spans="15:23" ht="12.75">
      <c r="O246" s="267"/>
      <c r="P246" s="250"/>
      <c r="Q246" s="249"/>
      <c r="R246" s="24" t="s">
        <v>96</v>
      </c>
      <c r="S246" s="169">
        <f t="shared" si="74"/>
        <v>79710</v>
      </c>
      <c r="T246" s="64"/>
      <c r="U246" s="64"/>
      <c r="W246" s="64">
        <v>79710</v>
      </c>
    </row>
    <row r="247" spans="15:23" ht="12.75">
      <c r="O247" s="267"/>
      <c r="P247" s="250"/>
      <c r="Q247" s="249"/>
      <c r="R247" s="24" t="s">
        <v>98</v>
      </c>
      <c r="S247" s="169">
        <f t="shared" si="74"/>
        <v>91252</v>
      </c>
      <c r="T247" s="64"/>
      <c r="U247" s="64"/>
      <c r="W247" s="64">
        <v>91252</v>
      </c>
    </row>
    <row r="252" spans="1:14" ht="18">
      <c r="A252" s="293" t="s">
        <v>289</v>
      </c>
      <c r="B252" s="293"/>
      <c r="C252" s="293"/>
      <c r="D252" s="293"/>
      <c r="E252" s="293"/>
      <c r="F252" s="293"/>
      <c r="G252" s="293"/>
      <c r="H252" s="293"/>
      <c r="I252" s="293"/>
      <c r="J252" s="293"/>
      <c r="K252" s="293"/>
      <c r="L252" s="293"/>
      <c r="M252" s="293"/>
      <c r="N252" s="293"/>
    </row>
    <row r="253" spans="1:19" ht="12.75" customHeight="1">
      <c r="A253" s="282" t="s">
        <v>160</v>
      </c>
      <c r="B253" s="283"/>
      <c r="C253" s="189" t="s">
        <v>296</v>
      </c>
      <c r="D253" s="189"/>
      <c r="E253" s="189"/>
      <c r="F253" s="189"/>
      <c r="G253" s="189"/>
      <c r="H253" s="189"/>
      <c r="I253" s="189"/>
      <c r="J253" s="189"/>
      <c r="K253" s="189"/>
      <c r="L253" s="189"/>
      <c r="M253" s="189"/>
      <c r="N253" s="189"/>
      <c r="O253" s="189"/>
      <c r="P253" s="189"/>
      <c r="Q253" s="189"/>
      <c r="R253" s="189"/>
      <c r="S253" s="189"/>
    </row>
    <row r="254" spans="1:19" ht="15.75" customHeight="1">
      <c r="A254" s="284"/>
      <c r="B254" s="285"/>
      <c r="C254" s="236" t="s">
        <v>0</v>
      </c>
      <c r="D254" s="236"/>
      <c r="E254" s="236"/>
      <c r="F254" s="236"/>
      <c r="G254" s="236"/>
      <c r="H254" s="236"/>
      <c r="I254" s="236"/>
      <c r="J254" s="236"/>
      <c r="K254" s="236"/>
      <c r="L254" s="236"/>
      <c r="M254" s="236"/>
      <c r="N254" s="236"/>
      <c r="O254" s="236"/>
      <c r="P254" s="236"/>
      <c r="Q254" s="236"/>
      <c r="R254" s="236"/>
      <c r="S254" s="236"/>
    </row>
    <row r="255" spans="1:19" ht="29.25" customHeight="1">
      <c r="A255" s="284"/>
      <c r="B255" s="286"/>
      <c r="C255" s="243" t="s">
        <v>290</v>
      </c>
      <c r="D255" s="243" t="s">
        <v>337</v>
      </c>
      <c r="E255" s="243" t="s">
        <v>291</v>
      </c>
      <c r="F255" s="243" t="s">
        <v>313</v>
      </c>
      <c r="G255" s="243" t="s">
        <v>292</v>
      </c>
      <c r="H255" s="243" t="s">
        <v>293</v>
      </c>
      <c r="I255" s="243" t="s">
        <v>294</v>
      </c>
      <c r="J255" s="243" t="s">
        <v>295</v>
      </c>
      <c r="K255" s="289" t="s">
        <v>288</v>
      </c>
      <c r="L255" s="290"/>
      <c r="M255" s="291"/>
      <c r="N255" s="289" t="s">
        <v>8</v>
      </c>
      <c r="O255" s="290"/>
      <c r="P255" s="291"/>
      <c r="Q255" s="261" t="s">
        <v>13</v>
      </c>
      <c r="R255" s="262"/>
      <c r="S255" s="263"/>
    </row>
    <row r="256" spans="1:21" ht="24.75" customHeight="1">
      <c r="A256" s="287"/>
      <c r="B256" s="288"/>
      <c r="C256" s="241"/>
      <c r="D256" s="241"/>
      <c r="E256" s="241"/>
      <c r="F256" s="241"/>
      <c r="G256" s="241"/>
      <c r="H256" s="241"/>
      <c r="I256" s="241"/>
      <c r="J256" s="241"/>
      <c r="K256" s="12" t="s">
        <v>278</v>
      </c>
      <c r="L256" s="12" t="s">
        <v>279</v>
      </c>
      <c r="M256" s="12" t="s">
        <v>280</v>
      </c>
      <c r="N256" s="12" t="s">
        <v>278</v>
      </c>
      <c r="O256" s="12" t="s">
        <v>279</v>
      </c>
      <c r="P256" s="12" t="s">
        <v>280</v>
      </c>
      <c r="Q256" s="264"/>
      <c r="R256" s="265"/>
      <c r="S256" s="266"/>
      <c r="T256" s="13"/>
      <c r="U256" s="13"/>
    </row>
    <row r="257" spans="1:21" ht="13.5" thickBot="1">
      <c r="A257" s="280" t="s">
        <v>17</v>
      </c>
      <c r="B257" s="281"/>
      <c r="C257" s="12" t="s">
        <v>18</v>
      </c>
      <c r="D257" s="12" t="s">
        <v>18</v>
      </c>
      <c r="E257" s="12" t="s">
        <v>18</v>
      </c>
      <c r="F257" s="12" t="s">
        <v>18</v>
      </c>
      <c r="G257" s="12" t="s">
        <v>18</v>
      </c>
      <c r="H257" s="12" t="s">
        <v>18</v>
      </c>
      <c r="I257" s="12" t="s">
        <v>18</v>
      </c>
      <c r="J257" s="12" t="s">
        <v>18</v>
      </c>
      <c r="K257" s="12" t="s">
        <v>18</v>
      </c>
      <c r="L257" s="12" t="s">
        <v>18</v>
      </c>
      <c r="M257" s="12" t="s">
        <v>18</v>
      </c>
      <c r="N257" s="12" t="s">
        <v>18</v>
      </c>
      <c r="O257" s="12" t="s">
        <v>18</v>
      </c>
      <c r="P257" s="12" t="s">
        <v>18</v>
      </c>
      <c r="Q257" s="12" t="s">
        <v>20</v>
      </c>
      <c r="R257" s="12" t="s">
        <v>21</v>
      </c>
      <c r="S257" s="12" t="s">
        <v>344</v>
      </c>
      <c r="T257" s="13"/>
      <c r="U257" s="13"/>
    </row>
    <row r="258" spans="1:21" ht="12.75" hidden="1">
      <c r="A258" s="125"/>
      <c r="B258" s="126" t="s">
        <v>23</v>
      </c>
      <c r="C258" s="175">
        <v>532</v>
      </c>
      <c r="D258" s="175">
        <v>361</v>
      </c>
      <c r="E258" s="175">
        <v>634</v>
      </c>
      <c r="F258" s="175">
        <v>459</v>
      </c>
      <c r="G258" s="175">
        <v>532</v>
      </c>
      <c r="H258" s="175">
        <v>404</v>
      </c>
      <c r="I258" s="175">
        <v>276</v>
      </c>
      <c r="J258" s="175">
        <v>276</v>
      </c>
      <c r="K258" s="175">
        <v>299</v>
      </c>
      <c r="L258" s="175">
        <v>299</v>
      </c>
      <c r="M258" s="175">
        <v>404</v>
      </c>
      <c r="N258" s="175">
        <v>404</v>
      </c>
      <c r="O258" s="175">
        <v>404</v>
      </c>
      <c r="P258" s="175">
        <v>532</v>
      </c>
      <c r="Q258" s="175">
        <v>300</v>
      </c>
      <c r="R258" s="175">
        <v>358</v>
      </c>
      <c r="S258" s="175">
        <v>451</v>
      </c>
      <c r="T258" s="40"/>
      <c r="U258" s="10"/>
    </row>
    <row r="259" spans="1:21" ht="12.75" hidden="1">
      <c r="A259" s="125"/>
      <c r="B259" s="126" t="s">
        <v>24</v>
      </c>
      <c r="C259" s="175">
        <v>451</v>
      </c>
      <c r="D259" s="175">
        <v>307</v>
      </c>
      <c r="E259" s="175">
        <v>537</v>
      </c>
      <c r="F259" s="175">
        <v>390</v>
      </c>
      <c r="G259" s="175">
        <v>451</v>
      </c>
      <c r="H259" s="175">
        <v>343</v>
      </c>
      <c r="I259" s="175">
        <v>236</v>
      </c>
      <c r="J259" s="175">
        <v>236</v>
      </c>
      <c r="K259" s="175">
        <v>255</v>
      </c>
      <c r="L259" s="175">
        <v>255</v>
      </c>
      <c r="M259" s="175">
        <v>343</v>
      </c>
      <c r="N259" s="175">
        <v>343</v>
      </c>
      <c r="O259" s="175">
        <v>343</v>
      </c>
      <c r="P259" s="175">
        <v>451</v>
      </c>
      <c r="Q259" s="175">
        <v>257</v>
      </c>
      <c r="R259" s="175">
        <v>307</v>
      </c>
      <c r="S259" s="175">
        <v>386</v>
      </c>
      <c r="T259" s="40"/>
      <c r="U259" s="10"/>
    </row>
    <row r="260" spans="1:21" ht="12.75" hidden="1">
      <c r="A260" s="125"/>
      <c r="B260" s="126" t="s">
        <v>26</v>
      </c>
      <c r="C260" s="175">
        <v>382</v>
      </c>
      <c r="D260" s="175">
        <v>262</v>
      </c>
      <c r="E260" s="175">
        <v>455</v>
      </c>
      <c r="F260" s="175">
        <v>331</v>
      </c>
      <c r="G260" s="175">
        <v>382</v>
      </c>
      <c r="H260" s="175">
        <v>292</v>
      </c>
      <c r="I260" s="175">
        <v>201</v>
      </c>
      <c r="J260" s="175">
        <v>201</v>
      </c>
      <c r="K260" s="175">
        <v>218</v>
      </c>
      <c r="L260" s="175">
        <v>218</v>
      </c>
      <c r="M260" s="175">
        <v>292</v>
      </c>
      <c r="N260" s="175">
        <v>292</v>
      </c>
      <c r="O260" s="175">
        <v>292</v>
      </c>
      <c r="P260" s="175">
        <v>382</v>
      </c>
      <c r="Q260" s="175">
        <v>221</v>
      </c>
      <c r="R260" s="175">
        <v>264</v>
      </c>
      <c r="S260" s="175">
        <v>332</v>
      </c>
      <c r="T260" s="40"/>
      <c r="U260" s="10"/>
    </row>
    <row r="261" spans="1:21" ht="12.75" hidden="1">
      <c r="A261" s="125"/>
      <c r="B261" s="15" t="s">
        <v>364</v>
      </c>
      <c r="C261" s="175">
        <v>321</v>
      </c>
      <c r="D261" s="175">
        <v>220</v>
      </c>
      <c r="E261" s="175">
        <v>381</v>
      </c>
      <c r="F261" s="175">
        <v>278</v>
      </c>
      <c r="G261" s="175">
        <v>321</v>
      </c>
      <c r="H261" s="175">
        <v>245</v>
      </c>
      <c r="I261" s="175">
        <v>170</v>
      </c>
      <c r="J261" s="175">
        <v>170</v>
      </c>
      <c r="K261" s="175">
        <v>184</v>
      </c>
      <c r="L261" s="175">
        <v>184</v>
      </c>
      <c r="M261" s="175">
        <v>245</v>
      </c>
      <c r="N261" s="175">
        <v>245</v>
      </c>
      <c r="O261" s="175">
        <v>245</v>
      </c>
      <c r="P261" s="175">
        <v>321</v>
      </c>
      <c r="Q261" s="175">
        <v>189</v>
      </c>
      <c r="R261" s="175">
        <v>226</v>
      </c>
      <c r="S261" s="175">
        <v>285</v>
      </c>
      <c r="T261" s="40"/>
      <c r="U261" s="10"/>
    </row>
    <row r="262" spans="1:21" ht="12.75" hidden="1">
      <c r="A262" s="125"/>
      <c r="B262" s="15" t="s">
        <v>365</v>
      </c>
      <c r="C262" s="175">
        <v>289</v>
      </c>
      <c r="D262" s="175">
        <v>200</v>
      </c>
      <c r="E262" s="175">
        <v>343</v>
      </c>
      <c r="F262" s="175">
        <v>251</v>
      </c>
      <c r="G262" s="175">
        <v>289</v>
      </c>
      <c r="H262" s="175">
        <v>222</v>
      </c>
      <c r="I262" s="175">
        <v>155</v>
      </c>
      <c r="J262" s="175">
        <v>155</v>
      </c>
      <c r="K262" s="175">
        <v>167</v>
      </c>
      <c r="L262" s="175">
        <v>167</v>
      </c>
      <c r="M262" s="175">
        <v>222</v>
      </c>
      <c r="N262" s="175">
        <v>222</v>
      </c>
      <c r="O262" s="175">
        <v>222</v>
      </c>
      <c r="P262" s="175">
        <v>289</v>
      </c>
      <c r="Q262" s="175">
        <v>173</v>
      </c>
      <c r="R262" s="175">
        <v>207</v>
      </c>
      <c r="S262" s="175">
        <v>260</v>
      </c>
      <c r="T262" s="40"/>
      <c r="U262" s="10"/>
    </row>
    <row r="263" spans="1:21" ht="12.75" hidden="1">
      <c r="A263" s="125"/>
      <c r="B263" s="126" t="s">
        <v>29</v>
      </c>
      <c r="C263" s="175">
        <v>426</v>
      </c>
      <c r="D263" s="175">
        <v>290</v>
      </c>
      <c r="E263" s="175">
        <v>507</v>
      </c>
      <c r="F263" s="175">
        <v>368</v>
      </c>
      <c r="G263" s="175">
        <v>426</v>
      </c>
      <c r="H263" s="175">
        <v>324</v>
      </c>
      <c r="I263" s="175">
        <v>223</v>
      </c>
      <c r="J263" s="175">
        <v>223</v>
      </c>
      <c r="K263" s="175">
        <v>241</v>
      </c>
      <c r="L263" s="175">
        <v>241</v>
      </c>
      <c r="M263" s="175">
        <v>324</v>
      </c>
      <c r="N263" s="175">
        <v>324</v>
      </c>
      <c r="O263" s="175">
        <v>324</v>
      </c>
      <c r="P263" s="175">
        <v>426</v>
      </c>
      <c r="Q263" s="175">
        <v>244</v>
      </c>
      <c r="R263" s="175">
        <v>291</v>
      </c>
      <c r="S263" s="175">
        <v>367</v>
      </c>
      <c r="T263" s="40"/>
      <c r="U263" s="10"/>
    </row>
    <row r="264" spans="1:21" ht="12.75" hidden="1">
      <c r="A264" s="125"/>
      <c r="B264" s="126" t="s">
        <v>30</v>
      </c>
      <c r="C264" s="175">
        <v>273</v>
      </c>
      <c r="D264" s="175">
        <v>189</v>
      </c>
      <c r="E264" s="175">
        <v>324</v>
      </c>
      <c r="F264" s="175">
        <v>237</v>
      </c>
      <c r="G264" s="175">
        <v>273</v>
      </c>
      <c r="H264" s="175">
        <v>210</v>
      </c>
      <c r="I264" s="175">
        <v>147</v>
      </c>
      <c r="J264" s="175">
        <v>147</v>
      </c>
      <c r="K264" s="175">
        <v>158</v>
      </c>
      <c r="L264" s="175">
        <v>158</v>
      </c>
      <c r="M264" s="175">
        <v>210</v>
      </c>
      <c r="N264" s="175">
        <v>210</v>
      </c>
      <c r="O264" s="175">
        <v>210</v>
      </c>
      <c r="P264" s="175">
        <v>273</v>
      </c>
      <c r="Q264" s="175">
        <v>165</v>
      </c>
      <c r="R264" s="175">
        <v>197</v>
      </c>
      <c r="S264" s="175">
        <v>248</v>
      </c>
      <c r="T264" s="40"/>
      <c r="U264" s="10"/>
    </row>
    <row r="265" spans="1:21" ht="12.75" hidden="1">
      <c r="A265" s="125"/>
      <c r="B265" s="126" t="s">
        <v>356</v>
      </c>
      <c r="C265" s="175">
        <v>421</v>
      </c>
      <c r="D265" s="175">
        <v>287</v>
      </c>
      <c r="E265" s="175">
        <v>501</v>
      </c>
      <c r="F265" s="175">
        <v>364</v>
      </c>
      <c r="G265" s="175">
        <v>421</v>
      </c>
      <c r="H265" s="175">
        <v>321</v>
      </c>
      <c r="I265" s="175">
        <v>220</v>
      </c>
      <c r="J265" s="175">
        <v>220</v>
      </c>
      <c r="K265" s="175">
        <v>239</v>
      </c>
      <c r="L265" s="175">
        <v>239</v>
      </c>
      <c r="M265" s="175">
        <v>321</v>
      </c>
      <c r="N265" s="175">
        <v>321</v>
      </c>
      <c r="O265" s="175">
        <v>321</v>
      </c>
      <c r="P265" s="175">
        <v>421</v>
      </c>
      <c r="Q265" s="175">
        <v>242</v>
      </c>
      <c r="R265" s="175">
        <v>289</v>
      </c>
      <c r="S265" s="175">
        <v>364</v>
      </c>
      <c r="T265" s="40"/>
      <c r="U265" s="10"/>
    </row>
    <row r="266" spans="1:21" ht="12.75" hidden="1">
      <c r="A266" s="125"/>
      <c r="B266" s="15" t="s">
        <v>357</v>
      </c>
      <c r="C266" s="175">
        <v>331</v>
      </c>
      <c r="D266" s="175">
        <v>227</v>
      </c>
      <c r="E266" s="175">
        <v>393</v>
      </c>
      <c r="F266" s="175">
        <v>287</v>
      </c>
      <c r="G266" s="175">
        <v>331</v>
      </c>
      <c r="H266" s="175">
        <v>253</v>
      </c>
      <c r="I266" s="175">
        <v>175</v>
      </c>
      <c r="J266" s="175">
        <v>175</v>
      </c>
      <c r="K266" s="175">
        <v>190</v>
      </c>
      <c r="L266" s="175">
        <v>190</v>
      </c>
      <c r="M266" s="175">
        <v>253</v>
      </c>
      <c r="N266" s="175">
        <v>253</v>
      </c>
      <c r="O266" s="175">
        <v>253</v>
      </c>
      <c r="P266" s="175">
        <v>331</v>
      </c>
      <c r="Q266" s="175">
        <v>194</v>
      </c>
      <c r="R266" s="175">
        <v>232</v>
      </c>
      <c r="S266" s="175">
        <v>292</v>
      </c>
      <c r="T266" s="40"/>
      <c r="U266" s="10"/>
    </row>
    <row r="267" spans="1:21" ht="12.75" hidden="1">
      <c r="A267" s="125"/>
      <c r="B267" s="126" t="s">
        <v>32</v>
      </c>
      <c r="C267" s="175">
        <v>263</v>
      </c>
      <c r="D267" s="175">
        <v>182</v>
      </c>
      <c r="E267" s="175">
        <v>311</v>
      </c>
      <c r="F267" s="175">
        <v>228</v>
      </c>
      <c r="G267" s="175">
        <v>263</v>
      </c>
      <c r="H267" s="175">
        <v>202</v>
      </c>
      <c r="I267" s="175">
        <v>141</v>
      </c>
      <c r="J267" s="175">
        <v>141</v>
      </c>
      <c r="K267" s="175">
        <v>152</v>
      </c>
      <c r="L267" s="175">
        <v>152</v>
      </c>
      <c r="M267" s="175">
        <v>202</v>
      </c>
      <c r="N267" s="175">
        <v>202</v>
      </c>
      <c r="O267" s="175">
        <v>202</v>
      </c>
      <c r="P267" s="175">
        <v>263</v>
      </c>
      <c r="Q267" s="175">
        <v>160</v>
      </c>
      <c r="R267" s="175">
        <v>191</v>
      </c>
      <c r="S267" s="175">
        <v>240</v>
      </c>
      <c r="T267" s="40"/>
      <c r="U267" s="10"/>
    </row>
    <row r="268" spans="1:21" ht="12.75" hidden="1">
      <c r="A268" s="125"/>
      <c r="B268" s="177" t="s">
        <v>347</v>
      </c>
      <c r="C268" s="175">
        <v>318</v>
      </c>
      <c r="D268" s="175">
        <v>219</v>
      </c>
      <c r="E268" s="175">
        <v>378</v>
      </c>
      <c r="F268" s="175">
        <v>276</v>
      </c>
      <c r="G268" s="175">
        <v>318</v>
      </c>
      <c r="H268" s="175">
        <v>244</v>
      </c>
      <c r="I268" s="175">
        <v>169</v>
      </c>
      <c r="J268" s="175">
        <v>169</v>
      </c>
      <c r="K268" s="175">
        <v>183</v>
      </c>
      <c r="L268" s="175">
        <v>183</v>
      </c>
      <c r="M268" s="175">
        <v>244</v>
      </c>
      <c r="N268" s="175">
        <v>244</v>
      </c>
      <c r="O268" s="175">
        <v>244</v>
      </c>
      <c r="P268" s="175">
        <v>318</v>
      </c>
      <c r="Q268" s="175">
        <v>188</v>
      </c>
      <c r="R268" s="175">
        <v>224</v>
      </c>
      <c r="S268" s="175">
        <v>282</v>
      </c>
      <c r="T268" s="40"/>
      <c r="U268" s="10"/>
    </row>
    <row r="269" spans="1:21" ht="12.75" hidden="1">
      <c r="A269" s="125"/>
      <c r="B269" s="126" t="s">
        <v>342</v>
      </c>
      <c r="C269" s="175">
        <v>306</v>
      </c>
      <c r="D269" s="175">
        <v>210</v>
      </c>
      <c r="E269" s="175">
        <v>363</v>
      </c>
      <c r="F269" s="175">
        <v>265</v>
      </c>
      <c r="G269" s="175">
        <v>306</v>
      </c>
      <c r="H269" s="175">
        <v>234</v>
      </c>
      <c r="I269" s="175">
        <v>163</v>
      </c>
      <c r="J269" s="175">
        <v>163</v>
      </c>
      <c r="K269" s="175">
        <v>176</v>
      </c>
      <c r="L269" s="175">
        <v>176</v>
      </c>
      <c r="M269" s="175">
        <v>234</v>
      </c>
      <c r="N269" s="175">
        <v>234</v>
      </c>
      <c r="O269" s="175">
        <v>234</v>
      </c>
      <c r="P269" s="175">
        <v>306</v>
      </c>
      <c r="Q269" s="175">
        <v>181</v>
      </c>
      <c r="R269" s="175">
        <v>217</v>
      </c>
      <c r="S269" s="175">
        <v>272</v>
      </c>
      <c r="T269" s="40"/>
      <c r="U269" s="10"/>
    </row>
    <row r="270" spans="1:21" ht="12.75" hidden="1">
      <c r="A270" s="125"/>
      <c r="B270" s="126" t="s">
        <v>33</v>
      </c>
      <c r="C270" s="175">
        <v>254</v>
      </c>
      <c r="D270" s="175">
        <v>176</v>
      </c>
      <c r="E270" s="175">
        <v>300</v>
      </c>
      <c r="F270" s="175">
        <v>220</v>
      </c>
      <c r="G270" s="175">
        <v>254</v>
      </c>
      <c r="H270" s="175">
        <v>195</v>
      </c>
      <c r="I270" s="175">
        <v>137</v>
      </c>
      <c r="J270" s="175">
        <v>137</v>
      </c>
      <c r="K270" s="175">
        <v>147</v>
      </c>
      <c r="L270" s="175">
        <v>147</v>
      </c>
      <c r="M270" s="175">
        <v>195</v>
      </c>
      <c r="N270" s="175">
        <v>195</v>
      </c>
      <c r="O270" s="175">
        <v>195</v>
      </c>
      <c r="P270" s="175">
        <v>254</v>
      </c>
      <c r="Q270" s="175">
        <v>155</v>
      </c>
      <c r="R270" s="175">
        <v>185</v>
      </c>
      <c r="S270" s="175">
        <v>233</v>
      </c>
      <c r="T270" s="40"/>
      <c r="U270" s="10"/>
    </row>
    <row r="271" spans="1:21" ht="12.75" hidden="1">
      <c r="A271" s="125"/>
      <c r="B271" s="126" t="s">
        <v>142</v>
      </c>
      <c r="C271" s="175">
        <v>892</v>
      </c>
      <c r="D271" s="175">
        <v>601</v>
      </c>
      <c r="E271" s="175">
        <v>1067</v>
      </c>
      <c r="F271" s="175">
        <v>768</v>
      </c>
      <c r="G271" s="175">
        <v>892</v>
      </c>
      <c r="H271" s="175">
        <v>674</v>
      </c>
      <c r="I271" s="175">
        <v>456</v>
      </c>
      <c r="J271" s="175">
        <v>456</v>
      </c>
      <c r="K271" s="175">
        <v>496</v>
      </c>
      <c r="L271" s="175">
        <v>496</v>
      </c>
      <c r="M271" s="175">
        <v>674</v>
      </c>
      <c r="N271" s="175">
        <v>674</v>
      </c>
      <c r="O271" s="175">
        <v>674</v>
      </c>
      <c r="P271" s="175">
        <v>892</v>
      </c>
      <c r="Q271" s="175">
        <v>486</v>
      </c>
      <c r="R271" s="175">
        <v>581</v>
      </c>
      <c r="S271" s="175">
        <v>731</v>
      </c>
      <c r="T271" s="40"/>
      <c r="U271" s="10"/>
    </row>
    <row r="272" spans="1:21" ht="12.75" hidden="1">
      <c r="A272" s="125"/>
      <c r="B272" s="126" t="s">
        <v>38</v>
      </c>
      <c r="C272" s="175">
        <v>892</v>
      </c>
      <c r="D272" s="175">
        <v>601</v>
      </c>
      <c r="E272" s="175">
        <v>1067</v>
      </c>
      <c r="F272" s="175">
        <v>768</v>
      </c>
      <c r="G272" s="175">
        <v>892</v>
      </c>
      <c r="H272" s="175">
        <v>674</v>
      </c>
      <c r="I272" s="175">
        <v>456</v>
      </c>
      <c r="J272" s="175">
        <v>456</v>
      </c>
      <c r="K272" s="175">
        <v>496</v>
      </c>
      <c r="L272" s="175">
        <v>496</v>
      </c>
      <c r="M272" s="175">
        <v>674</v>
      </c>
      <c r="N272" s="175">
        <v>674</v>
      </c>
      <c r="O272" s="175">
        <v>674</v>
      </c>
      <c r="P272" s="175">
        <v>892</v>
      </c>
      <c r="Q272" s="175">
        <v>486</v>
      </c>
      <c r="R272" s="175">
        <v>581</v>
      </c>
      <c r="S272" s="175">
        <v>731</v>
      </c>
      <c r="T272" s="40"/>
      <c r="U272" s="10"/>
    </row>
    <row r="273" spans="1:21" ht="12.75" hidden="1">
      <c r="A273" s="125"/>
      <c r="B273" s="126" t="s">
        <v>130</v>
      </c>
      <c r="C273" s="175">
        <v>421</v>
      </c>
      <c r="D273" s="175">
        <v>287</v>
      </c>
      <c r="E273" s="175">
        <v>501</v>
      </c>
      <c r="F273" s="175">
        <v>364</v>
      </c>
      <c r="G273" s="175">
        <v>421</v>
      </c>
      <c r="H273" s="175">
        <v>321</v>
      </c>
      <c r="I273" s="175">
        <v>220</v>
      </c>
      <c r="J273" s="175">
        <v>220</v>
      </c>
      <c r="K273" s="175">
        <v>239</v>
      </c>
      <c r="L273" s="175">
        <v>239</v>
      </c>
      <c r="M273" s="175">
        <v>321</v>
      </c>
      <c r="N273" s="175">
        <v>321</v>
      </c>
      <c r="O273" s="175">
        <v>321</v>
      </c>
      <c r="P273" s="175">
        <v>421</v>
      </c>
      <c r="Q273" s="175">
        <v>242</v>
      </c>
      <c r="R273" s="175">
        <v>289</v>
      </c>
      <c r="S273" s="175">
        <v>364</v>
      </c>
      <c r="T273" s="40"/>
      <c r="U273" s="10"/>
    </row>
    <row r="274" spans="1:21" ht="12.75" hidden="1">
      <c r="A274" s="125"/>
      <c r="B274" s="126" t="s">
        <v>355</v>
      </c>
      <c r="C274" s="175">
        <v>401</v>
      </c>
      <c r="D274" s="175">
        <v>274</v>
      </c>
      <c r="E274" s="175">
        <v>477</v>
      </c>
      <c r="F274" s="175">
        <v>346</v>
      </c>
      <c r="G274" s="175">
        <v>401</v>
      </c>
      <c r="H274" s="175">
        <v>305</v>
      </c>
      <c r="I274" s="175">
        <v>210</v>
      </c>
      <c r="J274" s="175">
        <v>210</v>
      </c>
      <c r="K274" s="175">
        <v>228</v>
      </c>
      <c r="L274" s="175">
        <v>228</v>
      </c>
      <c r="M274" s="175">
        <v>305</v>
      </c>
      <c r="N274" s="175">
        <v>305</v>
      </c>
      <c r="O274" s="175">
        <v>305</v>
      </c>
      <c r="P274" s="175">
        <v>401</v>
      </c>
      <c r="Q274" s="175">
        <v>230</v>
      </c>
      <c r="R274" s="175">
        <v>276</v>
      </c>
      <c r="S274" s="175">
        <v>347</v>
      </c>
      <c r="T274" s="40"/>
      <c r="U274" s="10"/>
    </row>
    <row r="275" spans="1:21" ht="12.75" hidden="1">
      <c r="A275" s="125"/>
      <c r="B275" s="126" t="s">
        <v>41</v>
      </c>
      <c r="C275" s="175">
        <v>380</v>
      </c>
      <c r="D275" s="175">
        <v>260</v>
      </c>
      <c r="E275" s="175">
        <v>452</v>
      </c>
      <c r="F275" s="175">
        <v>328</v>
      </c>
      <c r="G275" s="175">
        <v>380</v>
      </c>
      <c r="H275" s="175">
        <v>290</v>
      </c>
      <c r="I275" s="175">
        <v>200</v>
      </c>
      <c r="J275" s="175">
        <v>200</v>
      </c>
      <c r="K275" s="175">
        <v>216</v>
      </c>
      <c r="L275" s="175">
        <v>216</v>
      </c>
      <c r="M275" s="175">
        <v>290</v>
      </c>
      <c r="N275" s="175">
        <v>290</v>
      </c>
      <c r="O275" s="175">
        <v>290</v>
      </c>
      <c r="P275" s="175">
        <v>380</v>
      </c>
      <c r="Q275" s="175">
        <v>221</v>
      </c>
      <c r="R275" s="175">
        <v>264</v>
      </c>
      <c r="S275" s="175">
        <v>332</v>
      </c>
      <c r="T275" s="40"/>
      <c r="U275" s="10"/>
    </row>
    <row r="276" spans="1:21" ht="12.75" hidden="1">
      <c r="A276" s="125"/>
      <c r="B276" s="126" t="s">
        <v>354</v>
      </c>
      <c r="C276" s="175">
        <v>341</v>
      </c>
      <c r="D276" s="175">
        <v>234</v>
      </c>
      <c r="E276" s="175">
        <v>405</v>
      </c>
      <c r="F276" s="175">
        <v>295</v>
      </c>
      <c r="G276" s="175">
        <v>341</v>
      </c>
      <c r="H276" s="175">
        <v>261</v>
      </c>
      <c r="I276" s="175">
        <v>180</v>
      </c>
      <c r="J276" s="175">
        <v>180</v>
      </c>
      <c r="K276" s="175">
        <v>195</v>
      </c>
      <c r="L276" s="175">
        <v>195</v>
      </c>
      <c r="M276" s="175">
        <v>261</v>
      </c>
      <c r="N276" s="175">
        <v>261</v>
      </c>
      <c r="O276" s="175">
        <v>261</v>
      </c>
      <c r="P276" s="175">
        <v>341</v>
      </c>
      <c r="Q276" s="175">
        <v>199</v>
      </c>
      <c r="R276" s="175">
        <v>238</v>
      </c>
      <c r="S276" s="175">
        <v>300</v>
      </c>
      <c r="T276" s="40"/>
      <c r="U276" s="10"/>
    </row>
    <row r="277" spans="1:21" ht="12.75" hidden="1">
      <c r="A277" s="125"/>
      <c r="B277" s="126" t="s">
        <v>44</v>
      </c>
      <c r="C277" s="175">
        <v>310</v>
      </c>
      <c r="D277" s="175">
        <v>213</v>
      </c>
      <c r="E277" s="175">
        <v>368</v>
      </c>
      <c r="F277" s="175">
        <v>269</v>
      </c>
      <c r="G277" s="175">
        <v>310</v>
      </c>
      <c r="H277" s="175">
        <v>238</v>
      </c>
      <c r="I277" s="175">
        <v>165</v>
      </c>
      <c r="J277" s="175">
        <v>165</v>
      </c>
      <c r="K277" s="175">
        <v>178</v>
      </c>
      <c r="L277" s="175">
        <v>178</v>
      </c>
      <c r="M277" s="175">
        <v>238</v>
      </c>
      <c r="N277" s="175">
        <v>238</v>
      </c>
      <c r="O277" s="175">
        <v>238</v>
      </c>
      <c r="P277" s="175">
        <v>310</v>
      </c>
      <c r="Q277" s="175">
        <v>184</v>
      </c>
      <c r="R277" s="175">
        <v>221</v>
      </c>
      <c r="S277" s="175">
        <v>277</v>
      </c>
      <c r="T277" s="40"/>
      <c r="U277" s="10"/>
    </row>
    <row r="278" spans="1:21" ht="12.75" hidden="1">
      <c r="A278" s="125"/>
      <c r="B278" s="126" t="s">
        <v>358</v>
      </c>
      <c r="C278" s="175">
        <v>304</v>
      </c>
      <c r="D278" s="175">
        <v>209</v>
      </c>
      <c r="E278" s="175">
        <v>361</v>
      </c>
      <c r="F278" s="175">
        <v>264</v>
      </c>
      <c r="G278" s="175">
        <v>304</v>
      </c>
      <c r="H278" s="175">
        <v>233</v>
      </c>
      <c r="I278" s="175">
        <v>162</v>
      </c>
      <c r="J278" s="175">
        <v>162</v>
      </c>
      <c r="K278" s="175">
        <v>175</v>
      </c>
      <c r="L278" s="175">
        <v>175</v>
      </c>
      <c r="M278" s="175">
        <v>233</v>
      </c>
      <c r="N278" s="175">
        <v>233</v>
      </c>
      <c r="O278" s="175">
        <v>233</v>
      </c>
      <c r="P278" s="175">
        <v>304</v>
      </c>
      <c r="Q278" s="175">
        <v>181</v>
      </c>
      <c r="R278" s="175">
        <v>217</v>
      </c>
      <c r="S278" s="175">
        <v>272</v>
      </c>
      <c r="T278" s="40"/>
      <c r="U278" s="10"/>
    </row>
    <row r="279" spans="1:21" ht="12.75" hidden="1">
      <c r="A279" s="125"/>
      <c r="B279" s="126" t="s">
        <v>141</v>
      </c>
      <c r="C279" s="175">
        <v>297</v>
      </c>
      <c r="D279" s="175">
        <v>205</v>
      </c>
      <c r="E279" s="175">
        <v>352</v>
      </c>
      <c r="F279" s="175">
        <v>257</v>
      </c>
      <c r="G279" s="175">
        <v>297</v>
      </c>
      <c r="H279" s="175">
        <v>228</v>
      </c>
      <c r="I279" s="175">
        <v>158</v>
      </c>
      <c r="J279" s="175">
        <v>158</v>
      </c>
      <c r="K279" s="175">
        <v>171</v>
      </c>
      <c r="L279" s="175">
        <v>171</v>
      </c>
      <c r="M279" s="175">
        <v>228</v>
      </c>
      <c r="N279" s="175">
        <v>228</v>
      </c>
      <c r="O279" s="175">
        <v>228</v>
      </c>
      <c r="P279" s="175">
        <v>297</v>
      </c>
      <c r="Q279" s="175">
        <v>176</v>
      </c>
      <c r="R279" s="175">
        <v>211</v>
      </c>
      <c r="S279" s="175">
        <v>265</v>
      </c>
      <c r="T279" s="40"/>
      <c r="U279" s="10"/>
    </row>
    <row r="280" spans="1:21" ht="12.75" hidden="1">
      <c r="A280" s="125"/>
      <c r="B280" s="126" t="s">
        <v>48</v>
      </c>
      <c r="C280" s="175">
        <v>254</v>
      </c>
      <c r="D280" s="175">
        <v>176</v>
      </c>
      <c r="E280" s="175">
        <v>301</v>
      </c>
      <c r="F280" s="175">
        <v>221</v>
      </c>
      <c r="G280" s="175">
        <v>254</v>
      </c>
      <c r="H280" s="175">
        <v>196</v>
      </c>
      <c r="I280" s="175">
        <v>137</v>
      </c>
      <c r="J280" s="175">
        <v>137</v>
      </c>
      <c r="K280" s="175">
        <v>148</v>
      </c>
      <c r="L280" s="175">
        <v>148</v>
      </c>
      <c r="M280" s="175">
        <v>196</v>
      </c>
      <c r="N280" s="175">
        <v>196</v>
      </c>
      <c r="O280" s="175">
        <v>196</v>
      </c>
      <c r="P280" s="175">
        <v>254</v>
      </c>
      <c r="Q280" s="175">
        <v>155</v>
      </c>
      <c r="R280" s="175">
        <v>185</v>
      </c>
      <c r="S280" s="175">
        <v>233</v>
      </c>
      <c r="T280" s="40"/>
      <c r="U280" s="10"/>
    </row>
    <row r="281" spans="1:21" ht="12.75" hidden="1">
      <c r="A281" s="125"/>
      <c r="B281" s="126" t="s">
        <v>50</v>
      </c>
      <c r="C281" s="175" t="s">
        <v>28</v>
      </c>
      <c r="D281" s="175" t="s">
        <v>28</v>
      </c>
      <c r="E281" s="175" t="s">
        <v>28</v>
      </c>
      <c r="F281" s="175" t="s">
        <v>28</v>
      </c>
      <c r="G281" s="175" t="s">
        <v>28</v>
      </c>
      <c r="H281" s="175" t="s">
        <v>28</v>
      </c>
      <c r="I281" s="175" t="s">
        <v>28</v>
      </c>
      <c r="J281" s="175" t="s">
        <v>28</v>
      </c>
      <c r="K281" s="175" t="s">
        <v>28</v>
      </c>
      <c r="L281" s="175" t="s">
        <v>28</v>
      </c>
      <c r="M281" s="175" t="s">
        <v>28</v>
      </c>
      <c r="N281" s="175" t="s">
        <v>28</v>
      </c>
      <c r="O281" s="175" t="s">
        <v>28</v>
      </c>
      <c r="P281" s="175" t="s">
        <v>28</v>
      </c>
      <c r="Q281" s="175" t="s">
        <v>28</v>
      </c>
      <c r="R281" s="175" t="s">
        <v>28</v>
      </c>
      <c r="S281" s="175" t="s">
        <v>28</v>
      </c>
      <c r="T281" s="40"/>
      <c r="U281" s="10"/>
    </row>
    <row r="282" spans="1:21" ht="12.75" hidden="1">
      <c r="A282" s="125"/>
      <c r="B282" s="126" t="s">
        <v>52</v>
      </c>
      <c r="C282" s="175">
        <v>342</v>
      </c>
      <c r="D282" s="175">
        <v>235</v>
      </c>
      <c r="E282" s="175">
        <v>406</v>
      </c>
      <c r="F282" s="175">
        <v>296</v>
      </c>
      <c r="G282" s="175">
        <v>342</v>
      </c>
      <c r="H282" s="175">
        <v>261</v>
      </c>
      <c r="I282" s="175">
        <v>181</v>
      </c>
      <c r="J282" s="175">
        <v>181</v>
      </c>
      <c r="K282" s="175">
        <v>196</v>
      </c>
      <c r="L282" s="175">
        <v>196</v>
      </c>
      <c r="M282" s="175">
        <v>261</v>
      </c>
      <c r="N282" s="175">
        <v>261</v>
      </c>
      <c r="O282" s="175">
        <v>261</v>
      </c>
      <c r="P282" s="175">
        <v>342</v>
      </c>
      <c r="Q282" s="175">
        <v>201</v>
      </c>
      <c r="R282" s="175">
        <v>240</v>
      </c>
      <c r="S282" s="175">
        <v>302</v>
      </c>
      <c r="T282" s="40"/>
      <c r="U282" s="10"/>
    </row>
    <row r="283" spans="1:21" ht="12.75" hidden="1">
      <c r="A283" s="125"/>
      <c r="B283" s="126" t="s">
        <v>54</v>
      </c>
      <c r="C283" s="175">
        <v>232</v>
      </c>
      <c r="D283" s="175">
        <v>161</v>
      </c>
      <c r="E283" s="175">
        <v>275</v>
      </c>
      <c r="F283" s="175">
        <v>202</v>
      </c>
      <c r="G283" s="175">
        <v>232</v>
      </c>
      <c r="H283" s="175">
        <v>179</v>
      </c>
      <c r="I283" s="175">
        <v>126</v>
      </c>
      <c r="J283" s="175">
        <v>126</v>
      </c>
      <c r="K283" s="175">
        <v>136</v>
      </c>
      <c r="L283" s="175">
        <v>136</v>
      </c>
      <c r="M283" s="175">
        <v>179</v>
      </c>
      <c r="N283" s="175">
        <v>179</v>
      </c>
      <c r="O283" s="175">
        <v>179</v>
      </c>
      <c r="P283" s="175">
        <v>232</v>
      </c>
      <c r="Q283" s="175">
        <v>143</v>
      </c>
      <c r="R283" s="175">
        <v>171</v>
      </c>
      <c r="S283" s="175">
        <v>215</v>
      </c>
      <c r="T283" s="40"/>
      <c r="U283" s="10"/>
    </row>
    <row r="284" spans="1:21" ht="12.75" hidden="1">
      <c r="A284" s="125"/>
      <c r="B284" s="126" t="s">
        <v>57</v>
      </c>
      <c r="C284" s="175">
        <v>213</v>
      </c>
      <c r="D284" s="175">
        <v>149</v>
      </c>
      <c r="E284" s="175">
        <v>252</v>
      </c>
      <c r="F284" s="175">
        <v>186</v>
      </c>
      <c r="G284" s="175">
        <v>213</v>
      </c>
      <c r="H284" s="175">
        <v>165</v>
      </c>
      <c r="I284" s="175">
        <v>117</v>
      </c>
      <c r="J284" s="175">
        <v>117</v>
      </c>
      <c r="K284" s="175">
        <v>125</v>
      </c>
      <c r="L284" s="175">
        <v>125</v>
      </c>
      <c r="M284" s="175">
        <v>165</v>
      </c>
      <c r="N284" s="175">
        <v>165</v>
      </c>
      <c r="O284" s="175">
        <v>165</v>
      </c>
      <c r="P284" s="175">
        <v>213</v>
      </c>
      <c r="Q284" s="175">
        <v>133</v>
      </c>
      <c r="R284" s="175">
        <v>160</v>
      </c>
      <c r="S284" s="175">
        <v>201</v>
      </c>
      <c r="T284" s="40"/>
      <c r="U284" s="10"/>
    </row>
    <row r="285" spans="1:21" ht="13.5" hidden="1" thickBot="1">
      <c r="A285" s="127"/>
      <c r="B285" s="128" t="s">
        <v>59</v>
      </c>
      <c r="C285" s="176">
        <v>245</v>
      </c>
      <c r="D285" s="176">
        <v>170</v>
      </c>
      <c r="E285" s="176">
        <v>291</v>
      </c>
      <c r="F285" s="176">
        <v>213</v>
      </c>
      <c r="G285" s="176">
        <v>245</v>
      </c>
      <c r="H285" s="176">
        <v>189</v>
      </c>
      <c r="I285" s="176">
        <v>133</v>
      </c>
      <c r="J285" s="176">
        <v>133</v>
      </c>
      <c r="K285" s="176">
        <v>143</v>
      </c>
      <c r="L285" s="176">
        <v>143</v>
      </c>
      <c r="M285" s="176">
        <v>189</v>
      </c>
      <c r="N285" s="176">
        <v>189</v>
      </c>
      <c r="O285" s="176">
        <v>189</v>
      </c>
      <c r="P285" s="176">
        <v>245</v>
      </c>
      <c r="Q285" s="176">
        <v>150</v>
      </c>
      <c r="R285" s="176">
        <v>179</v>
      </c>
      <c r="S285" s="176">
        <v>225</v>
      </c>
      <c r="T285" s="40"/>
      <c r="U285" s="10"/>
    </row>
    <row r="286" spans="1:21" ht="12.75">
      <c r="A286" s="275" t="s">
        <v>22</v>
      </c>
      <c r="B286" s="54" t="s">
        <v>23</v>
      </c>
      <c r="C286" s="174">
        <f aca="true" t="shared" si="75" ref="C286:S286">ROUND(C258*(1-$B$361),2)</f>
        <v>532</v>
      </c>
      <c r="D286" s="174">
        <f t="shared" si="75"/>
        <v>361</v>
      </c>
      <c r="E286" s="174">
        <f t="shared" si="75"/>
        <v>634</v>
      </c>
      <c r="F286" s="174">
        <f t="shared" si="75"/>
        <v>459</v>
      </c>
      <c r="G286" s="174">
        <f t="shared" si="75"/>
        <v>532</v>
      </c>
      <c r="H286" s="174">
        <f t="shared" si="75"/>
        <v>404</v>
      </c>
      <c r="I286" s="174">
        <f t="shared" si="75"/>
        <v>276</v>
      </c>
      <c r="J286" s="174">
        <f t="shared" si="75"/>
        <v>276</v>
      </c>
      <c r="K286" s="174">
        <f t="shared" si="75"/>
        <v>299</v>
      </c>
      <c r="L286" s="174">
        <f t="shared" si="75"/>
        <v>299</v>
      </c>
      <c r="M286" s="174">
        <f t="shared" si="75"/>
        <v>404</v>
      </c>
      <c r="N286" s="174">
        <f t="shared" si="75"/>
        <v>404</v>
      </c>
      <c r="O286" s="174">
        <f t="shared" si="75"/>
        <v>404</v>
      </c>
      <c r="P286" s="174">
        <f t="shared" si="75"/>
        <v>532</v>
      </c>
      <c r="Q286" s="174">
        <f t="shared" si="75"/>
        <v>300</v>
      </c>
      <c r="R286" s="174">
        <f t="shared" si="75"/>
        <v>358</v>
      </c>
      <c r="S286" s="174">
        <f t="shared" si="75"/>
        <v>451</v>
      </c>
      <c r="T286" s="13"/>
      <c r="U286" s="13"/>
    </row>
    <row r="287" spans="1:21" ht="12.75">
      <c r="A287" s="276"/>
      <c r="B287" s="15" t="s">
        <v>24</v>
      </c>
      <c r="C287" s="12">
        <f aca="true" t="shared" si="76" ref="C287:S287">ROUND(C259*(1-$B$361),2)</f>
        <v>451</v>
      </c>
      <c r="D287" s="12">
        <f t="shared" si="76"/>
        <v>307</v>
      </c>
      <c r="E287" s="12">
        <f t="shared" si="76"/>
        <v>537</v>
      </c>
      <c r="F287" s="12">
        <f t="shared" si="76"/>
        <v>390</v>
      </c>
      <c r="G287" s="12">
        <f t="shared" si="76"/>
        <v>451</v>
      </c>
      <c r="H287" s="12">
        <f t="shared" si="76"/>
        <v>343</v>
      </c>
      <c r="I287" s="12">
        <f t="shared" si="76"/>
        <v>236</v>
      </c>
      <c r="J287" s="12">
        <f t="shared" si="76"/>
        <v>236</v>
      </c>
      <c r="K287" s="12">
        <f t="shared" si="76"/>
        <v>255</v>
      </c>
      <c r="L287" s="12">
        <f t="shared" si="76"/>
        <v>255</v>
      </c>
      <c r="M287" s="12">
        <f t="shared" si="76"/>
        <v>343</v>
      </c>
      <c r="N287" s="12">
        <f t="shared" si="76"/>
        <v>343</v>
      </c>
      <c r="O287" s="12">
        <f t="shared" si="76"/>
        <v>343</v>
      </c>
      <c r="P287" s="12">
        <f t="shared" si="76"/>
        <v>451</v>
      </c>
      <c r="Q287" s="12">
        <f t="shared" si="76"/>
        <v>257</v>
      </c>
      <c r="R287" s="12">
        <f t="shared" si="76"/>
        <v>307</v>
      </c>
      <c r="S287" s="12">
        <f t="shared" si="76"/>
        <v>386</v>
      </c>
      <c r="T287" s="13"/>
      <c r="U287" s="13"/>
    </row>
    <row r="288" spans="1:21" ht="12.75">
      <c r="A288" s="276"/>
      <c r="B288" s="15" t="s">
        <v>26</v>
      </c>
      <c r="C288" s="12">
        <f aca="true" t="shared" si="77" ref="C288:S288">ROUND(C260*(1-$B$361),2)</f>
        <v>382</v>
      </c>
      <c r="D288" s="12">
        <f t="shared" si="77"/>
        <v>262</v>
      </c>
      <c r="E288" s="12">
        <f t="shared" si="77"/>
        <v>455</v>
      </c>
      <c r="F288" s="12">
        <f t="shared" si="77"/>
        <v>331</v>
      </c>
      <c r="G288" s="12">
        <f t="shared" si="77"/>
        <v>382</v>
      </c>
      <c r="H288" s="12">
        <f t="shared" si="77"/>
        <v>292</v>
      </c>
      <c r="I288" s="12">
        <f t="shared" si="77"/>
        <v>201</v>
      </c>
      <c r="J288" s="12">
        <f t="shared" si="77"/>
        <v>201</v>
      </c>
      <c r="K288" s="12">
        <f t="shared" si="77"/>
        <v>218</v>
      </c>
      <c r="L288" s="12">
        <f t="shared" si="77"/>
        <v>218</v>
      </c>
      <c r="M288" s="12">
        <f t="shared" si="77"/>
        <v>292</v>
      </c>
      <c r="N288" s="12">
        <f t="shared" si="77"/>
        <v>292</v>
      </c>
      <c r="O288" s="12">
        <f t="shared" si="77"/>
        <v>292</v>
      </c>
      <c r="P288" s="12">
        <f t="shared" si="77"/>
        <v>382</v>
      </c>
      <c r="Q288" s="12">
        <f t="shared" si="77"/>
        <v>221</v>
      </c>
      <c r="R288" s="12">
        <f t="shared" si="77"/>
        <v>264</v>
      </c>
      <c r="S288" s="12">
        <f t="shared" si="77"/>
        <v>332</v>
      </c>
      <c r="T288" s="13"/>
      <c r="U288" s="13"/>
    </row>
    <row r="289" spans="1:21" ht="12.75">
      <c r="A289" s="276"/>
      <c r="B289" s="15" t="s">
        <v>364</v>
      </c>
      <c r="C289" s="12">
        <f aca="true" t="shared" si="78" ref="C289:S289">ROUND(C261*(1-$B$361),2)</f>
        <v>321</v>
      </c>
      <c r="D289" s="12">
        <f t="shared" si="78"/>
        <v>220</v>
      </c>
      <c r="E289" s="12">
        <f t="shared" si="78"/>
        <v>381</v>
      </c>
      <c r="F289" s="12">
        <f t="shared" si="78"/>
        <v>278</v>
      </c>
      <c r="G289" s="12">
        <f t="shared" si="78"/>
        <v>321</v>
      </c>
      <c r="H289" s="12">
        <f t="shared" si="78"/>
        <v>245</v>
      </c>
      <c r="I289" s="12">
        <f t="shared" si="78"/>
        <v>170</v>
      </c>
      <c r="J289" s="12">
        <f t="shared" si="78"/>
        <v>170</v>
      </c>
      <c r="K289" s="12">
        <f t="shared" si="78"/>
        <v>184</v>
      </c>
      <c r="L289" s="12">
        <f t="shared" si="78"/>
        <v>184</v>
      </c>
      <c r="M289" s="12">
        <f t="shared" si="78"/>
        <v>245</v>
      </c>
      <c r="N289" s="12">
        <f t="shared" si="78"/>
        <v>245</v>
      </c>
      <c r="O289" s="12">
        <f t="shared" si="78"/>
        <v>245</v>
      </c>
      <c r="P289" s="12">
        <f t="shared" si="78"/>
        <v>321</v>
      </c>
      <c r="Q289" s="12">
        <f t="shared" si="78"/>
        <v>189</v>
      </c>
      <c r="R289" s="12">
        <f t="shared" si="78"/>
        <v>226</v>
      </c>
      <c r="S289" s="12">
        <f t="shared" si="78"/>
        <v>285</v>
      </c>
      <c r="T289" s="13"/>
      <c r="U289" s="13"/>
    </row>
    <row r="290" spans="1:21" ht="12.75">
      <c r="A290" s="276"/>
      <c r="B290" s="15" t="s">
        <v>365</v>
      </c>
      <c r="C290" s="12">
        <f aca="true" t="shared" si="79" ref="C290:S290">ROUND(C262*(1-$B$361),2)</f>
        <v>289</v>
      </c>
      <c r="D290" s="12">
        <f t="shared" si="79"/>
        <v>200</v>
      </c>
      <c r="E290" s="12">
        <f t="shared" si="79"/>
        <v>343</v>
      </c>
      <c r="F290" s="12">
        <f t="shared" si="79"/>
        <v>251</v>
      </c>
      <c r="G290" s="12">
        <f t="shared" si="79"/>
        <v>289</v>
      </c>
      <c r="H290" s="12">
        <f t="shared" si="79"/>
        <v>222</v>
      </c>
      <c r="I290" s="12">
        <f t="shared" si="79"/>
        <v>155</v>
      </c>
      <c r="J290" s="12">
        <f t="shared" si="79"/>
        <v>155</v>
      </c>
      <c r="K290" s="12">
        <f t="shared" si="79"/>
        <v>167</v>
      </c>
      <c r="L290" s="12">
        <f t="shared" si="79"/>
        <v>167</v>
      </c>
      <c r="M290" s="12">
        <f t="shared" si="79"/>
        <v>222</v>
      </c>
      <c r="N290" s="12">
        <f t="shared" si="79"/>
        <v>222</v>
      </c>
      <c r="O290" s="12">
        <f t="shared" si="79"/>
        <v>222</v>
      </c>
      <c r="P290" s="12">
        <f t="shared" si="79"/>
        <v>289</v>
      </c>
      <c r="Q290" s="12">
        <f t="shared" si="79"/>
        <v>173</v>
      </c>
      <c r="R290" s="12">
        <f t="shared" si="79"/>
        <v>207</v>
      </c>
      <c r="S290" s="12">
        <f t="shared" si="79"/>
        <v>260</v>
      </c>
      <c r="T290" s="13"/>
      <c r="U290" s="13"/>
    </row>
    <row r="291" spans="1:21" ht="12.75">
      <c r="A291" s="276"/>
      <c r="B291" s="15" t="s">
        <v>356</v>
      </c>
      <c r="C291" s="12">
        <f aca="true" t="shared" si="80" ref="C291:S291">ROUND(C265*(1-$B$361),2)</f>
        <v>421</v>
      </c>
      <c r="D291" s="12">
        <f t="shared" si="80"/>
        <v>287</v>
      </c>
      <c r="E291" s="12">
        <f t="shared" si="80"/>
        <v>501</v>
      </c>
      <c r="F291" s="12">
        <f t="shared" si="80"/>
        <v>364</v>
      </c>
      <c r="G291" s="12">
        <f t="shared" si="80"/>
        <v>421</v>
      </c>
      <c r="H291" s="12">
        <f t="shared" si="80"/>
        <v>321</v>
      </c>
      <c r="I291" s="12">
        <f t="shared" si="80"/>
        <v>220</v>
      </c>
      <c r="J291" s="12">
        <f t="shared" si="80"/>
        <v>220</v>
      </c>
      <c r="K291" s="12">
        <f t="shared" si="80"/>
        <v>239</v>
      </c>
      <c r="L291" s="12">
        <f t="shared" si="80"/>
        <v>239</v>
      </c>
      <c r="M291" s="12">
        <f t="shared" si="80"/>
        <v>321</v>
      </c>
      <c r="N291" s="12">
        <f t="shared" si="80"/>
        <v>321</v>
      </c>
      <c r="O291" s="12">
        <f t="shared" si="80"/>
        <v>321</v>
      </c>
      <c r="P291" s="12">
        <f t="shared" si="80"/>
        <v>421</v>
      </c>
      <c r="Q291" s="12">
        <f t="shared" si="80"/>
        <v>242</v>
      </c>
      <c r="R291" s="12">
        <f t="shared" si="80"/>
        <v>289</v>
      </c>
      <c r="S291" s="12">
        <f t="shared" si="80"/>
        <v>364</v>
      </c>
      <c r="T291" s="13"/>
      <c r="U291" s="13"/>
    </row>
    <row r="292" spans="1:21" ht="12.75">
      <c r="A292" s="276"/>
      <c r="B292" s="15" t="s">
        <v>357</v>
      </c>
      <c r="C292" s="12">
        <f aca="true" t="shared" si="81" ref="C292:S292">ROUND(C266*(1-$B$361),2)</f>
        <v>331</v>
      </c>
      <c r="D292" s="12">
        <f t="shared" si="81"/>
        <v>227</v>
      </c>
      <c r="E292" s="12">
        <f t="shared" si="81"/>
        <v>393</v>
      </c>
      <c r="F292" s="12">
        <f t="shared" si="81"/>
        <v>287</v>
      </c>
      <c r="G292" s="12">
        <f t="shared" si="81"/>
        <v>331</v>
      </c>
      <c r="H292" s="12">
        <f t="shared" si="81"/>
        <v>253</v>
      </c>
      <c r="I292" s="12">
        <f t="shared" si="81"/>
        <v>175</v>
      </c>
      <c r="J292" s="12">
        <f t="shared" si="81"/>
        <v>175</v>
      </c>
      <c r="K292" s="12">
        <f t="shared" si="81"/>
        <v>190</v>
      </c>
      <c r="L292" s="12">
        <f t="shared" si="81"/>
        <v>190</v>
      </c>
      <c r="M292" s="12">
        <f t="shared" si="81"/>
        <v>253</v>
      </c>
      <c r="N292" s="12">
        <f t="shared" si="81"/>
        <v>253</v>
      </c>
      <c r="O292" s="12">
        <f t="shared" si="81"/>
        <v>253</v>
      </c>
      <c r="P292" s="12">
        <f t="shared" si="81"/>
        <v>331</v>
      </c>
      <c r="Q292" s="12">
        <f t="shared" si="81"/>
        <v>194</v>
      </c>
      <c r="R292" s="12">
        <f t="shared" si="81"/>
        <v>232</v>
      </c>
      <c r="S292" s="12">
        <f t="shared" si="81"/>
        <v>292</v>
      </c>
      <c r="T292" s="13"/>
      <c r="U292" s="13"/>
    </row>
    <row r="293" spans="1:21" ht="12.75">
      <c r="A293" s="276"/>
      <c r="B293" s="177" t="s">
        <v>347</v>
      </c>
      <c r="C293" s="12">
        <f aca="true" t="shared" si="82" ref="C293:S293">ROUND(C268*(1-$B$361),2)</f>
        <v>318</v>
      </c>
      <c r="D293" s="12">
        <f t="shared" si="82"/>
        <v>219</v>
      </c>
      <c r="E293" s="12">
        <f t="shared" si="82"/>
        <v>378</v>
      </c>
      <c r="F293" s="12">
        <f t="shared" si="82"/>
        <v>276</v>
      </c>
      <c r="G293" s="12">
        <f t="shared" si="82"/>
        <v>318</v>
      </c>
      <c r="H293" s="12">
        <f t="shared" si="82"/>
        <v>244</v>
      </c>
      <c r="I293" s="12">
        <f t="shared" si="82"/>
        <v>169</v>
      </c>
      <c r="J293" s="12">
        <f t="shared" si="82"/>
        <v>169</v>
      </c>
      <c r="K293" s="12">
        <f t="shared" si="82"/>
        <v>183</v>
      </c>
      <c r="L293" s="12">
        <f t="shared" si="82"/>
        <v>183</v>
      </c>
      <c r="M293" s="12">
        <f t="shared" si="82"/>
        <v>244</v>
      </c>
      <c r="N293" s="12">
        <f t="shared" si="82"/>
        <v>244</v>
      </c>
      <c r="O293" s="12">
        <f t="shared" si="82"/>
        <v>244</v>
      </c>
      <c r="P293" s="12">
        <f t="shared" si="82"/>
        <v>318</v>
      </c>
      <c r="Q293" s="12">
        <f t="shared" si="82"/>
        <v>188</v>
      </c>
      <c r="R293" s="12">
        <f t="shared" si="82"/>
        <v>224</v>
      </c>
      <c r="S293" s="12">
        <f t="shared" si="82"/>
        <v>282</v>
      </c>
      <c r="T293" s="13"/>
      <c r="U293" s="13"/>
    </row>
    <row r="294" spans="1:21" ht="12.75">
      <c r="A294" s="276"/>
      <c r="B294" s="15" t="s">
        <v>342</v>
      </c>
      <c r="C294" s="12">
        <f aca="true" t="shared" si="83" ref="C294:S294">ROUND(C269*(1-$B$361),2)</f>
        <v>306</v>
      </c>
      <c r="D294" s="12">
        <f t="shared" si="83"/>
        <v>210</v>
      </c>
      <c r="E294" s="12">
        <f t="shared" si="83"/>
        <v>363</v>
      </c>
      <c r="F294" s="12">
        <f t="shared" si="83"/>
        <v>265</v>
      </c>
      <c r="G294" s="12">
        <f t="shared" si="83"/>
        <v>306</v>
      </c>
      <c r="H294" s="12">
        <f t="shared" si="83"/>
        <v>234</v>
      </c>
      <c r="I294" s="12">
        <f t="shared" si="83"/>
        <v>163</v>
      </c>
      <c r="J294" s="12">
        <f t="shared" si="83"/>
        <v>163</v>
      </c>
      <c r="K294" s="12">
        <f t="shared" si="83"/>
        <v>176</v>
      </c>
      <c r="L294" s="12">
        <f t="shared" si="83"/>
        <v>176</v>
      </c>
      <c r="M294" s="12">
        <f t="shared" si="83"/>
        <v>234</v>
      </c>
      <c r="N294" s="12">
        <f t="shared" si="83"/>
        <v>234</v>
      </c>
      <c r="O294" s="12">
        <f t="shared" si="83"/>
        <v>234</v>
      </c>
      <c r="P294" s="12">
        <f t="shared" si="83"/>
        <v>306</v>
      </c>
      <c r="Q294" s="12">
        <f t="shared" si="83"/>
        <v>181</v>
      </c>
      <c r="R294" s="12">
        <f t="shared" si="83"/>
        <v>217</v>
      </c>
      <c r="S294" s="12">
        <f t="shared" si="83"/>
        <v>272</v>
      </c>
      <c r="T294" s="13"/>
      <c r="U294" s="13"/>
    </row>
    <row r="295" spans="1:21" ht="12.75">
      <c r="A295" s="276"/>
      <c r="B295" s="15" t="s">
        <v>235</v>
      </c>
      <c r="C295" s="12">
        <f aca="true" t="shared" si="84" ref="C295:S295">ROUND(C270*(1-$B$361),2)</f>
        <v>254</v>
      </c>
      <c r="D295" s="12">
        <f t="shared" si="84"/>
        <v>176</v>
      </c>
      <c r="E295" s="12">
        <f t="shared" si="84"/>
        <v>300</v>
      </c>
      <c r="F295" s="12">
        <f t="shared" si="84"/>
        <v>220</v>
      </c>
      <c r="G295" s="12">
        <f t="shared" si="84"/>
        <v>254</v>
      </c>
      <c r="H295" s="12">
        <f t="shared" si="84"/>
        <v>195</v>
      </c>
      <c r="I295" s="12">
        <f t="shared" si="84"/>
        <v>137</v>
      </c>
      <c r="J295" s="12">
        <f t="shared" si="84"/>
        <v>137</v>
      </c>
      <c r="K295" s="12">
        <f t="shared" si="84"/>
        <v>147</v>
      </c>
      <c r="L295" s="12">
        <f t="shared" si="84"/>
        <v>147</v>
      </c>
      <c r="M295" s="12">
        <f t="shared" si="84"/>
        <v>195</v>
      </c>
      <c r="N295" s="12">
        <f t="shared" si="84"/>
        <v>195</v>
      </c>
      <c r="O295" s="12">
        <f t="shared" si="84"/>
        <v>195</v>
      </c>
      <c r="P295" s="12">
        <f t="shared" si="84"/>
        <v>254</v>
      </c>
      <c r="Q295" s="12">
        <f t="shared" si="84"/>
        <v>155</v>
      </c>
      <c r="R295" s="12">
        <f t="shared" si="84"/>
        <v>185</v>
      </c>
      <c r="S295" s="12">
        <f t="shared" si="84"/>
        <v>233</v>
      </c>
      <c r="T295" s="13"/>
      <c r="U295" s="13"/>
    </row>
    <row r="296" spans="1:21" ht="12.75">
      <c r="A296" s="277" t="s">
        <v>128</v>
      </c>
      <c r="B296" s="15" t="s">
        <v>142</v>
      </c>
      <c r="C296" s="12">
        <f aca="true" t="shared" si="85" ref="C296:S296">ROUND(C271*(1-$B$361),2)</f>
        <v>892</v>
      </c>
      <c r="D296" s="12">
        <f t="shared" si="85"/>
        <v>601</v>
      </c>
      <c r="E296" s="12">
        <f t="shared" si="85"/>
        <v>1067</v>
      </c>
      <c r="F296" s="12">
        <f t="shared" si="85"/>
        <v>768</v>
      </c>
      <c r="G296" s="12">
        <f t="shared" si="85"/>
        <v>892</v>
      </c>
      <c r="H296" s="12">
        <f t="shared" si="85"/>
        <v>674</v>
      </c>
      <c r="I296" s="12">
        <f t="shared" si="85"/>
        <v>456</v>
      </c>
      <c r="J296" s="12">
        <f t="shared" si="85"/>
        <v>456</v>
      </c>
      <c r="K296" s="12">
        <f t="shared" si="85"/>
        <v>496</v>
      </c>
      <c r="L296" s="12">
        <f t="shared" si="85"/>
        <v>496</v>
      </c>
      <c r="M296" s="12">
        <f t="shared" si="85"/>
        <v>674</v>
      </c>
      <c r="N296" s="12">
        <f t="shared" si="85"/>
        <v>674</v>
      </c>
      <c r="O296" s="12">
        <f t="shared" si="85"/>
        <v>674</v>
      </c>
      <c r="P296" s="12">
        <f t="shared" si="85"/>
        <v>892</v>
      </c>
      <c r="Q296" s="12">
        <f t="shared" si="85"/>
        <v>486</v>
      </c>
      <c r="R296" s="12">
        <f t="shared" si="85"/>
        <v>581</v>
      </c>
      <c r="S296" s="12">
        <f t="shared" si="85"/>
        <v>731</v>
      </c>
      <c r="T296" s="13"/>
      <c r="U296" s="13"/>
    </row>
    <row r="297" spans="1:21" ht="12.75">
      <c r="A297" s="278"/>
      <c r="B297" s="15" t="s">
        <v>38</v>
      </c>
      <c r="C297" s="12">
        <f aca="true" t="shared" si="86" ref="C297:S297">ROUND(C272*(1-$B$361),2)</f>
        <v>892</v>
      </c>
      <c r="D297" s="12">
        <f t="shared" si="86"/>
        <v>601</v>
      </c>
      <c r="E297" s="12">
        <f t="shared" si="86"/>
        <v>1067</v>
      </c>
      <c r="F297" s="12">
        <f t="shared" si="86"/>
        <v>768</v>
      </c>
      <c r="G297" s="12">
        <f t="shared" si="86"/>
        <v>892</v>
      </c>
      <c r="H297" s="12">
        <f t="shared" si="86"/>
        <v>674</v>
      </c>
      <c r="I297" s="12">
        <f t="shared" si="86"/>
        <v>456</v>
      </c>
      <c r="J297" s="12">
        <f t="shared" si="86"/>
        <v>456</v>
      </c>
      <c r="K297" s="12">
        <f t="shared" si="86"/>
        <v>496</v>
      </c>
      <c r="L297" s="12">
        <f t="shared" si="86"/>
        <v>496</v>
      </c>
      <c r="M297" s="12">
        <f t="shared" si="86"/>
        <v>674</v>
      </c>
      <c r="N297" s="12">
        <f t="shared" si="86"/>
        <v>674</v>
      </c>
      <c r="O297" s="12">
        <f t="shared" si="86"/>
        <v>674</v>
      </c>
      <c r="P297" s="12">
        <f t="shared" si="86"/>
        <v>892</v>
      </c>
      <c r="Q297" s="12">
        <f t="shared" si="86"/>
        <v>486</v>
      </c>
      <c r="R297" s="12">
        <f t="shared" si="86"/>
        <v>581</v>
      </c>
      <c r="S297" s="12">
        <f t="shared" si="86"/>
        <v>731</v>
      </c>
      <c r="T297" s="13"/>
      <c r="U297" s="13"/>
    </row>
    <row r="298" spans="1:21" ht="12.75">
      <c r="A298" s="278"/>
      <c r="B298" s="15" t="s">
        <v>130</v>
      </c>
      <c r="C298" s="12">
        <f aca="true" t="shared" si="87" ref="C298:S298">ROUND(C273*(1-$B$361),2)</f>
        <v>421</v>
      </c>
      <c r="D298" s="12">
        <f t="shared" si="87"/>
        <v>287</v>
      </c>
      <c r="E298" s="12">
        <f t="shared" si="87"/>
        <v>501</v>
      </c>
      <c r="F298" s="12">
        <f t="shared" si="87"/>
        <v>364</v>
      </c>
      <c r="G298" s="12">
        <f t="shared" si="87"/>
        <v>421</v>
      </c>
      <c r="H298" s="12">
        <f t="shared" si="87"/>
        <v>321</v>
      </c>
      <c r="I298" s="12">
        <f t="shared" si="87"/>
        <v>220</v>
      </c>
      <c r="J298" s="12">
        <f t="shared" si="87"/>
        <v>220</v>
      </c>
      <c r="K298" s="12">
        <f t="shared" si="87"/>
        <v>239</v>
      </c>
      <c r="L298" s="12">
        <f t="shared" si="87"/>
        <v>239</v>
      </c>
      <c r="M298" s="12">
        <f t="shared" si="87"/>
        <v>321</v>
      </c>
      <c r="N298" s="12">
        <f t="shared" si="87"/>
        <v>321</v>
      </c>
      <c r="O298" s="12">
        <f t="shared" si="87"/>
        <v>321</v>
      </c>
      <c r="P298" s="12">
        <f t="shared" si="87"/>
        <v>421</v>
      </c>
      <c r="Q298" s="12">
        <f t="shared" si="87"/>
        <v>242</v>
      </c>
      <c r="R298" s="12">
        <f t="shared" si="87"/>
        <v>289</v>
      </c>
      <c r="S298" s="12">
        <f t="shared" si="87"/>
        <v>364</v>
      </c>
      <c r="T298" s="13"/>
      <c r="U298" s="13"/>
    </row>
    <row r="299" spans="1:21" ht="12.75">
      <c r="A299" s="278"/>
      <c r="B299" s="15" t="s">
        <v>355</v>
      </c>
      <c r="C299" s="12">
        <f aca="true" t="shared" si="88" ref="C299:S299">ROUND(C274*(1-$B$361),2)</f>
        <v>401</v>
      </c>
      <c r="D299" s="12">
        <f t="shared" si="88"/>
        <v>274</v>
      </c>
      <c r="E299" s="12">
        <f t="shared" si="88"/>
        <v>477</v>
      </c>
      <c r="F299" s="12">
        <f t="shared" si="88"/>
        <v>346</v>
      </c>
      <c r="G299" s="12">
        <f t="shared" si="88"/>
        <v>401</v>
      </c>
      <c r="H299" s="12">
        <f t="shared" si="88"/>
        <v>305</v>
      </c>
      <c r="I299" s="12">
        <f t="shared" si="88"/>
        <v>210</v>
      </c>
      <c r="J299" s="12">
        <f t="shared" si="88"/>
        <v>210</v>
      </c>
      <c r="K299" s="12">
        <f t="shared" si="88"/>
        <v>228</v>
      </c>
      <c r="L299" s="12">
        <f t="shared" si="88"/>
        <v>228</v>
      </c>
      <c r="M299" s="12">
        <f t="shared" si="88"/>
        <v>305</v>
      </c>
      <c r="N299" s="12">
        <f t="shared" si="88"/>
        <v>305</v>
      </c>
      <c r="O299" s="12">
        <f t="shared" si="88"/>
        <v>305</v>
      </c>
      <c r="P299" s="12">
        <f t="shared" si="88"/>
        <v>401</v>
      </c>
      <c r="Q299" s="12">
        <f t="shared" si="88"/>
        <v>230</v>
      </c>
      <c r="R299" s="12">
        <f t="shared" si="88"/>
        <v>276</v>
      </c>
      <c r="S299" s="12">
        <f t="shared" si="88"/>
        <v>347</v>
      </c>
      <c r="T299" s="13"/>
      <c r="U299" s="13"/>
    </row>
    <row r="300" spans="1:21" ht="12.75">
      <c r="A300" s="278"/>
      <c r="B300" s="15" t="s">
        <v>41</v>
      </c>
      <c r="C300" s="12">
        <f aca="true" t="shared" si="89" ref="C300:S300">ROUND(C275*(1-$B$361),2)</f>
        <v>380</v>
      </c>
      <c r="D300" s="12">
        <f t="shared" si="89"/>
        <v>260</v>
      </c>
      <c r="E300" s="12">
        <f t="shared" si="89"/>
        <v>452</v>
      </c>
      <c r="F300" s="12">
        <f t="shared" si="89"/>
        <v>328</v>
      </c>
      <c r="G300" s="12">
        <f t="shared" si="89"/>
        <v>380</v>
      </c>
      <c r="H300" s="12">
        <f t="shared" si="89"/>
        <v>290</v>
      </c>
      <c r="I300" s="12">
        <f t="shared" si="89"/>
        <v>200</v>
      </c>
      <c r="J300" s="12">
        <f t="shared" si="89"/>
        <v>200</v>
      </c>
      <c r="K300" s="12">
        <f t="shared" si="89"/>
        <v>216</v>
      </c>
      <c r="L300" s="12">
        <f t="shared" si="89"/>
        <v>216</v>
      </c>
      <c r="M300" s="12">
        <f t="shared" si="89"/>
        <v>290</v>
      </c>
      <c r="N300" s="12">
        <f t="shared" si="89"/>
        <v>290</v>
      </c>
      <c r="O300" s="12">
        <f t="shared" si="89"/>
        <v>290</v>
      </c>
      <c r="P300" s="12">
        <f t="shared" si="89"/>
        <v>380</v>
      </c>
      <c r="Q300" s="12">
        <f t="shared" si="89"/>
        <v>221</v>
      </c>
      <c r="R300" s="12">
        <f t="shared" si="89"/>
        <v>264</v>
      </c>
      <c r="S300" s="12">
        <f t="shared" si="89"/>
        <v>332</v>
      </c>
      <c r="T300" s="13"/>
      <c r="U300" s="13"/>
    </row>
    <row r="301" spans="1:21" ht="12.75">
      <c r="A301" s="278"/>
      <c r="B301" s="15" t="s">
        <v>354</v>
      </c>
      <c r="C301" s="12">
        <f aca="true" t="shared" si="90" ref="C301:S301">ROUND(C276*(1-$B$361),2)</f>
        <v>341</v>
      </c>
      <c r="D301" s="12">
        <f t="shared" si="90"/>
        <v>234</v>
      </c>
      <c r="E301" s="12">
        <f t="shared" si="90"/>
        <v>405</v>
      </c>
      <c r="F301" s="12">
        <f t="shared" si="90"/>
        <v>295</v>
      </c>
      <c r="G301" s="12">
        <f t="shared" si="90"/>
        <v>341</v>
      </c>
      <c r="H301" s="12">
        <f t="shared" si="90"/>
        <v>261</v>
      </c>
      <c r="I301" s="12">
        <f t="shared" si="90"/>
        <v>180</v>
      </c>
      <c r="J301" s="12">
        <f t="shared" si="90"/>
        <v>180</v>
      </c>
      <c r="K301" s="12">
        <f t="shared" si="90"/>
        <v>195</v>
      </c>
      <c r="L301" s="12">
        <f t="shared" si="90"/>
        <v>195</v>
      </c>
      <c r="M301" s="12">
        <f t="shared" si="90"/>
        <v>261</v>
      </c>
      <c r="N301" s="12">
        <f t="shared" si="90"/>
        <v>261</v>
      </c>
      <c r="O301" s="12">
        <f t="shared" si="90"/>
        <v>261</v>
      </c>
      <c r="P301" s="12">
        <f t="shared" si="90"/>
        <v>341</v>
      </c>
      <c r="Q301" s="12">
        <f t="shared" si="90"/>
        <v>199</v>
      </c>
      <c r="R301" s="12">
        <f t="shared" si="90"/>
        <v>238</v>
      </c>
      <c r="S301" s="12">
        <f t="shared" si="90"/>
        <v>300</v>
      </c>
      <c r="T301" s="13"/>
      <c r="U301" s="13"/>
    </row>
    <row r="302" spans="1:21" ht="12.75">
      <c r="A302" s="278"/>
      <c r="B302" s="15" t="s">
        <v>44</v>
      </c>
      <c r="C302" s="12">
        <f aca="true" t="shared" si="91" ref="C302:S302">ROUND(C277*(1-$B$361),2)</f>
        <v>310</v>
      </c>
      <c r="D302" s="12">
        <f t="shared" si="91"/>
        <v>213</v>
      </c>
      <c r="E302" s="12">
        <f t="shared" si="91"/>
        <v>368</v>
      </c>
      <c r="F302" s="12">
        <f t="shared" si="91"/>
        <v>269</v>
      </c>
      <c r="G302" s="12">
        <f t="shared" si="91"/>
        <v>310</v>
      </c>
      <c r="H302" s="12">
        <f t="shared" si="91"/>
        <v>238</v>
      </c>
      <c r="I302" s="12">
        <f t="shared" si="91"/>
        <v>165</v>
      </c>
      <c r="J302" s="12">
        <f t="shared" si="91"/>
        <v>165</v>
      </c>
      <c r="K302" s="12">
        <f t="shared" si="91"/>
        <v>178</v>
      </c>
      <c r="L302" s="12">
        <f t="shared" si="91"/>
        <v>178</v>
      </c>
      <c r="M302" s="12">
        <f t="shared" si="91"/>
        <v>238</v>
      </c>
      <c r="N302" s="12">
        <f t="shared" si="91"/>
        <v>238</v>
      </c>
      <c r="O302" s="12">
        <f t="shared" si="91"/>
        <v>238</v>
      </c>
      <c r="P302" s="12">
        <f t="shared" si="91"/>
        <v>310</v>
      </c>
      <c r="Q302" s="12">
        <f t="shared" si="91"/>
        <v>184</v>
      </c>
      <c r="R302" s="12">
        <f t="shared" si="91"/>
        <v>221</v>
      </c>
      <c r="S302" s="12">
        <f t="shared" si="91"/>
        <v>277</v>
      </c>
      <c r="T302" s="13"/>
      <c r="U302" s="13"/>
    </row>
    <row r="303" spans="1:21" ht="12.75">
      <c r="A303" s="278"/>
      <c r="B303" s="177" t="s">
        <v>358</v>
      </c>
      <c r="C303" s="12">
        <f aca="true" t="shared" si="92" ref="C303:S303">ROUND(C278*(1-$B$361),2)</f>
        <v>304</v>
      </c>
      <c r="D303" s="12">
        <f t="shared" si="92"/>
        <v>209</v>
      </c>
      <c r="E303" s="12">
        <f t="shared" si="92"/>
        <v>361</v>
      </c>
      <c r="F303" s="12">
        <f t="shared" si="92"/>
        <v>264</v>
      </c>
      <c r="G303" s="12">
        <f t="shared" si="92"/>
        <v>304</v>
      </c>
      <c r="H303" s="12">
        <f t="shared" si="92"/>
        <v>233</v>
      </c>
      <c r="I303" s="12">
        <f t="shared" si="92"/>
        <v>162</v>
      </c>
      <c r="J303" s="12">
        <f t="shared" si="92"/>
        <v>162</v>
      </c>
      <c r="K303" s="12">
        <f t="shared" si="92"/>
        <v>175</v>
      </c>
      <c r="L303" s="12">
        <f t="shared" si="92"/>
        <v>175</v>
      </c>
      <c r="M303" s="12">
        <f t="shared" si="92"/>
        <v>233</v>
      </c>
      <c r="N303" s="12">
        <f t="shared" si="92"/>
        <v>233</v>
      </c>
      <c r="O303" s="12">
        <f t="shared" si="92"/>
        <v>233</v>
      </c>
      <c r="P303" s="12">
        <f t="shared" si="92"/>
        <v>304</v>
      </c>
      <c r="Q303" s="12">
        <f t="shared" si="92"/>
        <v>181</v>
      </c>
      <c r="R303" s="12">
        <f t="shared" si="92"/>
        <v>217</v>
      </c>
      <c r="S303" s="12">
        <f t="shared" si="92"/>
        <v>272</v>
      </c>
      <c r="T303" s="13"/>
      <c r="U303" s="13"/>
    </row>
    <row r="304" spans="1:21" ht="12.75">
      <c r="A304" s="278"/>
      <c r="B304" s="15" t="s">
        <v>141</v>
      </c>
      <c r="C304" s="12">
        <f aca="true" t="shared" si="93" ref="C304:S304">ROUND(C279*(1-$B$361),2)</f>
        <v>297</v>
      </c>
      <c r="D304" s="12">
        <f t="shared" si="93"/>
        <v>205</v>
      </c>
      <c r="E304" s="12">
        <f t="shared" si="93"/>
        <v>352</v>
      </c>
      <c r="F304" s="12">
        <f t="shared" si="93"/>
        <v>257</v>
      </c>
      <c r="G304" s="12">
        <f t="shared" si="93"/>
        <v>297</v>
      </c>
      <c r="H304" s="12">
        <f t="shared" si="93"/>
        <v>228</v>
      </c>
      <c r="I304" s="12">
        <f t="shared" si="93"/>
        <v>158</v>
      </c>
      <c r="J304" s="12">
        <f t="shared" si="93"/>
        <v>158</v>
      </c>
      <c r="K304" s="12">
        <f t="shared" si="93"/>
        <v>171</v>
      </c>
      <c r="L304" s="12">
        <f t="shared" si="93"/>
        <v>171</v>
      </c>
      <c r="M304" s="12">
        <f t="shared" si="93"/>
        <v>228</v>
      </c>
      <c r="N304" s="12">
        <f t="shared" si="93"/>
        <v>228</v>
      </c>
      <c r="O304" s="12">
        <f t="shared" si="93"/>
        <v>228</v>
      </c>
      <c r="P304" s="12">
        <f t="shared" si="93"/>
        <v>297</v>
      </c>
      <c r="Q304" s="12">
        <f t="shared" si="93"/>
        <v>176</v>
      </c>
      <c r="R304" s="12">
        <f t="shared" si="93"/>
        <v>211</v>
      </c>
      <c r="S304" s="12">
        <f t="shared" si="93"/>
        <v>265</v>
      </c>
      <c r="T304" s="13"/>
      <c r="U304" s="13"/>
    </row>
    <row r="305" spans="1:21" ht="12.75">
      <c r="A305" s="278"/>
      <c r="B305" s="15" t="s">
        <v>48</v>
      </c>
      <c r="C305" s="12">
        <f aca="true" t="shared" si="94" ref="C305:S305">ROUND(C280*(1-$B$361),2)</f>
        <v>254</v>
      </c>
      <c r="D305" s="12">
        <f t="shared" si="94"/>
        <v>176</v>
      </c>
      <c r="E305" s="12">
        <f t="shared" si="94"/>
        <v>301</v>
      </c>
      <c r="F305" s="12">
        <f t="shared" si="94"/>
        <v>221</v>
      </c>
      <c r="G305" s="12">
        <f t="shared" si="94"/>
        <v>254</v>
      </c>
      <c r="H305" s="12">
        <f t="shared" si="94"/>
        <v>196</v>
      </c>
      <c r="I305" s="12">
        <f t="shared" si="94"/>
        <v>137</v>
      </c>
      <c r="J305" s="12">
        <f t="shared" si="94"/>
        <v>137</v>
      </c>
      <c r="K305" s="12">
        <f t="shared" si="94"/>
        <v>148</v>
      </c>
      <c r="L305" s="12">
        <f t="shared" si="94"/>
        <v>148</v>
      </c>
      <c r="M305" s="12">
        <f t="shared" si="94"/>
        <v>196</v>
      </c>
      <c r="N305" s="12">
        <f t="shared" si="94"/>
        <v>196</v>
      </c>
      <c r="O305" s="12">
        <f t="shared" si="94"/>
        <v>196</v>
      </c>
      <c r="P305" s="12">
        <f t="shared" si="94"/>
        <v>254</v>
      </c>
      <c r="Q305" s="12">
        <f t="shared" si="94"/>
        <v>155</v>
      </c>
      <c r="R305" s="12">
        <f t="shared" si="94"/>
        <v>185</v>
      </c>
      <c r="S305" s="12">
        <f t="shared" si="94"/>
        <v>233</v>
      </c>
      <c r="T305" s="13"/>
      <c r="U305" s="13"/>
    </row>
    <row r="306" spans="1:21" ht="12.75">
      <c r="A306" s="278"/>
      <c r="B306" s="15" t="s">
        <v>50</v>
      </c>
      <c r="C306" s="175" t="s">
        <v>28</v>
      </c>
      <c r="D306" s="175" t="s">
        <v>28</v>
      </c>
      <c r="E306" s="175" t="s">
        <v>28</v>
      </c>
      <c r="F306" s="175" t="s">
        <v>28</v>
      </c>
      <c r="G306" s="175" t="s">
        <v>28</v>
      </c>
      <c r="H306" s="175" t="s">
        <v>28</v>
      </c>
      <c r="I306" s="175" t="s">
        <v>28</v>
      </c>
      <c r="J306" s="175" t="s">
        <v>28</v>
      </c>
      <c r="K306" s="175" t="s">
        <v>28</v>
      </c>
      <c r="L306" s="175" t="s">
        <v>28</v>
      </c>
      <c r="M306" s="175" t="s">
        <v>28</v>
      </c>
      <c r="N306" s="175" t="s">
        <v>28</v>
      </c>
      <c r="O306" s="175" t="s">
        <v>28</v>
      </c>
      <c r="P306" s="175" t="s">
        <v>28</v>
      </c>
      <c r="Q306" s="175" t="s">
        <v>28</v>
      </c>
      <c r="R306" s="175" t="s">
        <v>28</v>
      </c>
      <c r="S306" s="175" t="s">
        <v>28</v>
      </c>
      <c r="T306" s="13"/>
      <c r="U306" s="13"/>
    </row>
    <row r="307" spans="1:21" ht="12.75">
      <c r="A307" s="278"/>
      <c r="B307" s="15" t="s">
        <v>52</v>
      </c>
      <c r="C307" s="12">
        <f aca="true" t="shared" si="95" ref="C307:S307">ROUND(C282*(1-$B$361),2)</f>
        <v>342</v>
      </c>
      <c r="D307" s="12">
        <f t="shared" si="95"/>
        <v>235</v>
      </c>
      <c r="E307" s="12">
        <f t="shared" si="95"/>
        <v>406</v>
      </c>
      <c r="F307" s="12">
        <f t="shared" si="95"/>
        <v>296</v>
      </c>
      <c r="G307" s="12">
        <f t="shared" si="95"/>
        <v>342</v>
      </c>
      <c r="H307" s="12">
        <f t="shared" si="95"/>
        <v>261</v>
      </c>
      <c r="I307" s="12">
        <f t="shared" si="95"/>
        <v>181</v>
      </c>
      <c r="J307" s="12">
        <f t="shared" si="95"/>
        <v>181</v>
      </c>
      <c r="K307" s="12">
        <f t="shared" si="95"/>
        <v>196</v>
      </c>
      <c r="L307" s="12">
        <f t="shared" si="95"/>
        <v>196</v>
      </c>
      <c r="M307" s="12">
        <f t="shared" si="95"/>
        <v>261</v>
      </c>
      <c r="N307" s="12">
        <f t="shared" si="95"/>
        <v>261</v>
      </c>
      <c r="O307" s="12">
        <f t="shared" si="95"/>
        <v>261</v>
      </c>
      <c r="P307" s="12">
        <f t="shared" si="95"/>
        <v>342</v>
      </c>
      <c r="Q307" s="12">
        <f t="shared" si="95"/>
        <v>201</v>
      </c>
      <c r="R307" s="12">
        <f t="shared" si="95"/>
        <v>240</v>
      </c>
      <c r="S307" s="12">
        <f t="shared" si="95"/>
        <v>302</v>
      </c>
      <c r="T307" s="13"/>
      <c r="U307" s="13"/>
    </row>
    <row r="308" spans="1:21" ht="12.75">
      <c r="A308" s="279"/>
      <c r="B308" s="15" t="s">
        <v>54</v>
      </c>
      <c r="C308" s="12">
        <f aca="true" t="shared" si="96" ref="C308:S308">ROUND(C283*(1-$B$361),2)</f>
        <v>232</v>
      </c>
      <c r="D308" s="12">
        <f t="shared" si="96"/>
        <v>161</v>
      </c>
      <c r="E308" s="12">
        <f t="shared" si="96"/>
        <v>275</v>
      </c>
      <c r="F308" s="12">
        <f t="shared" si="96"/>
        <v>202</v>
      </c>
      <c r="G308" s="12">
        <f t="shared" si="96"/>
        <v>232</v>
      </c>
      <c r="H308" s="12">
        <f t="shared" si="96"/>
        <v>179</v>
      </c>
      <c r="I308" s="12">
        <f t="shared" si="96"/>
        <v>126</v>
      </c>
      <c r="J308" s="12">
        <f t="shared" si="96"/>
        <v>126</v>
      </c>
      <c r="K308" s="12">
        <f t="shared" si="96"/>
        <v>136</v>
      </c>
      <c r="L308" s="12">
        <f t="shared" si="96"/>
        <v>136</v>
      </c>
      <c r="M308" s="12">
        <f t="shared" si="96"/>
        <v>179</v>
      </c>
      <c r="N308" s="12">
        <f t="shared" si="96"/>
        <v>179</v>
      </c>
      <c r="O308" s="12">
        <f t="shared" si="96"/>
        <v>179</v>
      </c>
      <c r="P308" s="12">
        <f t="shared" si="96"/>
        <v>232</v>
      </c>
      <c r="Q308" s="12">
        <f t="shared" si="96"/>
        <v>143</v>
      </c>
      <c r="R308" s="12">
        <f t="shared" si="96"/>
        <v>171</v>
      </c>
      <c r="S308" s="12">
        <f t="shared" si="96"/>
        <v>215</v>
      </c>
      <c r="T308" s="13"/>
      <c r="U308" s="13"/>
    </row>
    <row r="309" spans="1:21" ht="12.75">
      <c r="A309" s="268" t="s">
        <v>56</v>
      </c>
      <c r="B309" s="97" t="s">
        <v>57</v>
      </c>
      <c r="C309" s="12">
        <f aca="true" t="shared" si="97" ref="C309:S309">ROUND(C284*(1-$B$361),2)</f>
        <v>213</v>
      </c>
      <c r="D309" s="12">
        <f t="shared" si="97"/>
        <v>149</v>
      </c>
      <c r="E309" s="12">
        <f t="shared" si="97"/>
        <v>252</v>
      </c>
      <c r="F309" s="12">
        <f t="shared" si="97"/>
        <v>186</v>
      </c>
      <c r="G309" s="12">
        <f t="shared" si="97"/>
        <v>213</v>
      </c>
      <c r="H309" s="12">
        <f t="shared" si="97"/>
        <v>165</v>
      </c>
      <c r="I309" s="12">
        <f t="shared" si="97"/>
        <v>117</v>
      </c>
      <c r="J309" s="12">
        <f t="shared" si="97"/>
        <v>117</v>
      </c>
      <c r="K309" s="12">
        <f t="shared" si="97"/>
        <v>125</v>
      </c>
      <c r="L309" s="12">
        <f t="shared" si="97"/>
        <v>125</v>
      </c>
      <c r="M309" s="12">
        <f t="shared" si="97"/>
        <v>165</v>
      </c>
      <c r="N309" s="12">
        <f t="shared" si="97"/>
        <v>165</v>
      </c>
      <c r="O309" s="12">
        <f t="shared" si="97"/>
        <v>165</v>
      </c>
      <c r="P309" s="12">
        <f t="shared" si="97"/>
        <v>213</v>
      </c>
      <c r="Q309" s="12">
        <f t="shared" si="97"/>
        <v>133</v>
      </c>
      <c r="R309" s="12">
        <f t="shared" si="97"/>
        <v>160</v>
      </c>
      <c r="S309" s="12">
        <f t="shared" si="97"/>
        <v>201</v>
      </c>
      <c r="T309" s="13"/>
      <c r="U309" s="13"/>
    </row>
    <row r="310" spans="1:21" ht="13.5" thickBot="1">
      <c r="A310" s="269"/>
      <c r="B310" s="131" t="s">
        <v>59</v>
      </c>
      <c r="C310" s="12">
        <f aca="true" t="shared" si="98" ref="C310:S310">ROUND(C285*(1-$B$361),2)</f>
        <v>245</v>
      </c>
      <c r="D310" s="12">
        <f t="shared" si="98"/>
        <v>170</v>
      </c>
      <c r="E310" s="12">
        <f t="shared" si="98"/>
        <v>291</v>
      </c>
      <c r="F310" s="12">
        <f t="shared" si="98"/>
        <v>213</v>
      </c>
      <c r="G310" s="12">
        <f t="shared" si="98"/>
        <v>245</v>
      </c>
      <c r="H310" s="12">
        <f t="shared" si="98"/>
        <v>189</v>
      </c>
      <c r="I310" s="12">
        <f t="shared" si="98"/>
        <v>133</v>
      </c>
      <c r="J310" s="12">
        <f t="shared" si="98"/>
        <v>133</v>
      </c>
      <c r="K310" s="12">
        <f t="shared" si="98"/>
        <v>143</v>
      </c>
      <c r="L310" s="12">
        <f t="shared" si="98"/>
        <v>143</v>
      </c>
      <c r="M310" s="12">
        <f t="shared" si="98"/>
        <v>189</v>
      </c>
      <c r="N310" s="12">
        <f t="shared" si="98"/>
        <v>189</v>
      </c>
      <c r="O310" s="12">
        <f t="shared" si="98"/>
        <v>189</v>
      </c>
      <c r="P310" s="12">
        <f t="shared" si="98"/>
        <v>245</v>
      </c>
      <c r="Q310" s="12">
        <f t="shared" si="98"/>
        <v>150</v>
      </c>
      <c r="R310" s="12">
        <f t="shared" si="98"/>
        <v>179</v>
      </c>
      <c r="S310" s="12">
        <f t="shared" si="98"/>
        <v>225</v>
      </c>
      <c r="T310" s="13"/>
      <c r="U310" s="13"/>
    </row>
    <row r="313" spans="1:19" ht="25.5" customHeight="1">
      <c r="A313" s="274" t="s">
        <v>66</v>
      </c>
      <c r="B313" s="274"/>
      <c r="C313" s="129" t="s">
        <v>103</v>
      </c>
      <c r="D313" s="129" t="s">
        <v>104</v>
      </c>
      <c r="E313" s="129" t="s">
        <v>105</v>
      </c>
      <c r="O313" s="267" t="s">
        <v>340</v>
      </c>
      <c r="P313" s="130" t="s">
        <v>66</v>
      </c>
      <c r="Q313" s="130" t="s">
        <v>67</v>
      </c>
      <c r="R313" s="130" t="s">
        <v>68</v>
      </c>
      <c r="S313" s="130" t="s">
        <v>69</v>
      </c>
    </row>
    <row r="314" spans="1:15" ht="12.75" customHeight="1" hidden="1">
      <c r="A314" s="270" t="s">
        <v>305</v>
      </c>
      <c r="B314" s="271"/>
      <c r="C314" s="146"/>
      <c r="D314" s="147">
        <v>1.3</v>
      </c>
      <c r="E314" s="144"/>
      <c r="O314" s="267"/>
    </row>
    <row r="315" spans="1:15" ht="12.75" customHeight="1" hidden="1">
      <c r="A315" s="272"/>
      <c r="B315" s="273"/>
      <c r="C315" s="146"/>
      <c r="D315" s="147">
        <v>3.16</v>
      </c>
      <c r="E315" s="144"/>
      <c r="O315" s="267"/>
    </row>
    <row r="316" spans="1:15" ht="12.75" customHeight="1" hidden="1">
      <c r="A316" s="270" t="s">
        <v>106</v>
      </c>
      <c r="B316" s="271"/>
      <c r="C316" s="146"/>
      <c r="D316" s="147">
        <v>1.2</v>
      </c>
      <c r="E316" s="144"/>
      <c r="O316" s="267"/>
    </row>
    <row r="317" spans="1:15" ht="12.75" customHeight="1" hidden="1">
      <c r="A317" s="272"/>
      <c r="B317" s="273"/>
      <c r="C317" s="146"/>
      <c r="D317" s="147">
        <v>2.76</v>
      </c>
      <c r="E317" s="144"/>
      <c r="O317" s="267"/>
    </row>
    <row r="318" spans="1:15" ht="12.75" customHeight="1" hidden="1">
      <c r="A318" s="259" t="s">
        <v>341</v>
      </c>
      <c r="B318" s="260"/>
      <c r="C318" s="165" t="s">
        <v>108</v>
      </c>
      <c r="D318" s="147">
        <v>4.8</v>
      </c>
      <c r="E318" s="144"/>
      <c r="O318" s="267"/>
    </row>
    <row r="319" spans="1:15" ht="12.75" customHeight="1" hidden="1">
      <c r="A319" s="258" t="s">
        <v>110</v>
      </c>
      <c r="B319" s="258"/>
      <c r="C319" s="146"/>
      <c r="D319" s="147">
        <v>4.71</v>
      </c>
      <c r="E319" s="144"/>
      <c r="O319" s="267"/>
    </row>
    <row r="320" spans="1:15" ht="12.75" customHeight="1" hidden="1">
      <c r="A320" s="258" t="s">
        <v>176</v>
      </c>
      <c r="B320" s="258"/>
      <c r="C320" s="165" t="s">
        <v>177</v>
      </c>
      <c r="D320" s="147">
        <v>2.84</v>
      </c>
      <c r="E320" s="144"/>
      <c r="O320" s="267"/>
    </row>
    <row r="321" spans="1:15" ht="12.75" hidden="1">
      <c r="A321" s="258" t="s">
        <v>112</v>
      </c>
      <c r="B321" s="258"/>
      <c r="C321" s="146"/>
      <c r="D321" s="147">
        <v>3.57</v>
      </c>
      <c r="E321" s="146"/>
      <c r="O321" s="267"/>
    </row>
    <row r="322" spans="1:23" ht="12.75">
      <c r="A322" s="204" t="s">
        <v>305</v>
      </c>
      <c r="B322" s="206"/>
      <c r="C322" s="29" t="s">
        <v>107</v>
      </c>
      <c r="D322" s="12">
        <f aca="true" t="shared" si="99" ref="D322:D329">ROUND(D314*(1-$B$363),3)</f>
        <v>1.3</v>
      </c>
      <c r="E322" s="51" t="str">
        <f>D322*200&amp;" (200 шт)"</f>
        <v>260 (200 шт)</v>
      </c>
      <c r="O322" s="267"/>
      <c r="P322" s="249" t="s">
        <v>184</v>
      </c>
      <c r="Q322" s="249" t="s">
        <v>75</v>
      </c>
      <c r="R322" s="24" t="s">
        <v>76</v>
      </c>
      <c r="S322" s="169">
        <f aca="true" t="shared" si="100" ref="S322:S342">IF(ISTEXT(W322)=TRUE,W322,ROUND(W322*(1-$B$362),2))</f>
        <v>27345</v>
      </c>
      <c r="T322" s="64"/>
      <c r="U322" s="64"/>
      <c r="W322" s="164">
        <f aca="true" t="shared" si="101" ref="W322:W329">W71</f>
        <v>27345</v>
      </c>
    </row>
    <row r="323" spans="1:23" ht="12.75">
      <c r="A323" s="207"/>
      <c r="B323" s="209"/>
      <c r="C323" s="29" t="s">
        <v>108</v>
      </c>
      <c r="D323" s="12">
        <f t="shared" si="99"/>
        <v>3.16</v>
      </c>
      <c r="E323" s="51" t="str">
        <f>D323*200&amp;" (200 шт)"</f>
        <v>632 (200 шт)</v>
      </c>
      <c r="O323" s="267"/>
      <c r="P323" s="249"/>
      <c r="Q323" s="249"/>
      <c r="R323" s="24" t="s">
        <v>314</v>
      </c>
      <c r="S323" s="169">
        <f t="shared" si="100"/>
        <v>29733</v>
      </c>
      <c r="T323" s="64"/>
      <c r="U323" s="64"/>
      <c r="W323" s="164">
        <f t="shared" si="101"/>
        <v>29733</v>
      </c>
    </row>
    <row r="324" spans="1:23" ht="12.75">
      <c r="A324" s="204" t="s">
        <v>106</v>
      </c>
      <c r="B324" s="206"/>
      <c r="C324" s="29" t="s">
        <v>107</v>
      </c>
      <c r="D324" s="12">
        <f t="shared" si="99"/>
        <v>1.2</v>
      </c>
      <c r="E324" s="51" t="str">
        <f>D324*200&amp;" (200 шт)"</f>
        <v>240 (200 шт)</v>
      </c>
      <c r="O324" s="267"/>
      <c r="P324" s="249"/>
      <c r="Q324" s="249"/>
      <c r="R324" s="24" t="s">
        <v>78</v>
      </c>
      <c r="S324" s="169">
        <f t="shared" si="100"/>
        <v>28541</v>
      </c>
      <c r="T324" s="64"/>
      <c r="U324" s="64"/>
      <c r="W324" s="164">
        <f t="shared" si="101"/>
        <v>28541</v>
      </c>
    </row>
    <row r="325" spans="1:23" ht="12.75">
      <c r="A325" s="207"/>
      <c r="B325" s="209"/>
      <c r="C325" s="29" t="s">
        <v>108</v>
      </c>
      <c r="D325" s="12">
        <f t="shared" si="99"/>
        <v>2.76</v>
      </c>
      <c r="E325" s="51" t="str">
        <f>D325*200&amp;" (200 шт)"</f>
        <v>552 (200 шт)</v>
      </c>
      <c r="O325" s="267"/>
      <c r="P325" s="249"/>
      <c r="Q325" s="249"/>
      <c r="R325" s="24" t="s">
        <v>315</v>
      </c>
      <c r="S325" s="169">
        <f t="shared" si="100"/>
        <v>30702</v>
      </c>
      <c r="T325" s="64"/>
      <c r="U325" s="64"/>
      <c r="W325" s="164">
        <f t="shared" si="101"/>
        <v>30702</v>
      </c>
    </row>
    <row r="326" spans="1:23" ht="12.75" customHeight="1">
      <c r="A326" s="256" t="s">
        <v>341</v>
      </c>
      <c r="B326" s="257"/>
      <c r="C326" s="29" t="s">
        <v>108</v>
      </c>
      <c r="D326" s="12">
        <f t="shared" si="99"/>
        <v>4.8</v>
      </c>
      <c r="E326" s="51" t="str">
        <f>D326*1200&amp;" (1200 шт)"</f>
        <v>5760 (1200 шт)</v>
      </c>
      <c r="O326" s="267"/>
      <c r="P326" s="249"/>
      <c r="Q326" s="249"/>
      <c r="R326" s="24" t="s">
        <v>316</v>
      </c>
      <c r="S326" s="169">
        <f t="shared" si="100"/>
        <v>33534</v>
      </c>
      <c r="T326" s="64"/>
      <c r="U326" s="64"/>
      <c r="W326" s="164">
        <f t="shared" si="101"/>
        <v>33534</v>
      </c>
    </row>
    <row r="327" spans="1:23" ht="12.75">
      <c r="A327" s="256" t="s">
        <v>110</v>
      </c>
      <c r="B327" s="257"/>
      <c r="C327" s="30" t="s">
        <v>111</v>
      </c>
      <c r="D327" s="12">
        <f t="shared" si="99"/>
        <v>4.71</v>
      </c>
      <c r="E327" s="51" t="str">
        <f>D327*1400&amp;" (1400 шт)"</f>
        <v>6594 (1400 шт)</v>
      </c>
      <c r="O327" s="267"/>
      <c r="P327" s="249" t="s">
        <v>185</v>
      </c>
      <c r="Q327" s="249"/>
      <c r="R327" s="24" t="s">
        <v>81</v>
      </c>
      <c r="S327" s="169">
        <f t="shared" si="100"/>
        <v>48410</v>
      </c>
      <c r="T327" s="64"/>
      <c r="U327" s="64"/>
      <c r="W327" s="164">
        <f t="shared" si="101"/>
        <v>48410</v>
      </c>
    </row>
    <row r="328" spans="1:23" ht="12.75">
      <c r="A328" s="202" t="s">
        <v>176</v>
      </c>
      <c r="B328" s="202"/>
      <c r="C328" s="29" t="s">
        <v>177</v>
      </c>
      <c r="D328" s="12">
        <f t="shared" si="99"/>
        <v>2.84</v>
      </c>
      <c r="E328" s="51" t="str">
        <f>D328*1000&amp;" (1000 шт)"</f>
        <v>2840 (1000 шт)</v>
      </c>
      <c r="O328" s="267"/>
      <c r="P328" s="249"/>
      <c r="Q328" s="249"/>
      <c r="R328" s="24" t="s">
        <v>317</v>
      </c>
      <c r="S328" s="169">
        <f t="shared" si="100"/>
        <v>62195</v>
      </c>
      <c r="T328" s="64"/>
      <c r="U328" s="64"/>
      <c r="W328" s="164">
        <f t="shared" si="101"/>
        <v>62195</v>
      </c>
    </row>
    <row r="329" spans="1:23" ht="12.75">
      <c r="A329" s="202" t="s">
        <v>112</v>
      </c>
      <c r="B329" s="202"/>
      <c r="C329" s="30" t="s">
        <v>28</v>
      </c>
      <c r="D329" s="12">
        <f t="shared" si="99"/>
        <v>3.57</v>
      </c>
      <c r="E329" s="51" t="str">
        <f>D329*500&amp;" (500 шт)"</f>
        <v>1785 (500 шт)</v>
      </c>
      <c r="O329" s="267"/>
      <c r="P329" s="249"/>
      <c r="Q329" s="249"/>
      <c r="R329" s="24" t="s">
        <v>84</v>
      </c>
      <c r="S329" s="169">
        <f t="shared" si="100"/>
        <v>56765</v>
      </c>
      <c r="T329" s="64"/>
      <c r="U329" s="64"/>
      <c r="W329" s="164">
        <f t="shared" si="101"/>
        <v>56765</v>
      </c>
    </row>
    <row r="330" spans="15:23" ht="12.75">
      <c r="O330" s="267"/>
      <c r="P330" s="249"/>
      <c r="Q330" s="249"/>
      <c r="R330" s="24" t="s">
        <v>96</v>
      </c>
      <c r="S330" s="169">
        <f t="shared" si="100"/>
        <v>71417</v>
      </c>
      <c r="T330" s="64"/>
      <c r="U330" s="64"/>
      <c r="W330" s="64">
        <v>71417</v>
      </c>
    </row>
    <row r="331" spans="15:23" ht="12.75">
      <c r="O331" s="267"/>
      <c r="P331" s="249" t="s">
        <v>186</v>
      </c>
      <c r="Q331" s="249"/>
      <c r="R331" s="24" t="s">
        <v>86</v>
      </c>
      <c r="S331" s="169">
        <f t="shared" si="100"/>
        <v>81782</v>
      </c>
      <c r="T331" s="64"/>
      <c r="U331" s="64"/>
      <c r="W331" s="164">
        <f aca="true" t="shared" si="102" ref="W331:W336">W80</f>
        <v>81782</v>
      </c>
    </row>
    <row r="332" spans="15:23" ht="12.75">
      <c r="O332" s="267"/>
      <c r="P332" s="249"/>
      <c r="Q332" s="249"/>
      <c r="R332" s="24" t="s">
        <v>88</v>
      </c>
      <c r="S332" s="169">
        <f t="shared" si="100"/>
        <v>86213</v>
      </c>
      <c r="T332" s="64"/>
      <c r="U332" s="64"/>
      <c r="W332" s="164">
        <f t="shared" si="102"/>
        <v>86213</v>
      </c>
    </row>
    <row r="333" spans="15:23" ht="12.75">
      <c r="O333" s="267"/>
      <c r="P333" s="249"/>
      <c r="Q333" s="249"/>
      <c r="R333" s="24" t="s">
        <v>92</v>
      </c>
      <c r="S333" s="169">
        <f t="shared" si="100"/>
        <v>97237</v>
      </c>
      <c r="T333" s="64"/>
      <c r="U333" s="64"/>
      <c r="W333" s="164">
        <f t="shared" si="102"/>
        <v>97237</v>
      </c>
    </row>
    <row r="334" spans="15:23" ht="12.75">
      <c r="O334" s="267"/>
      <c r="P334" s="249"/>
      <c r="Q334" s="249"/>
      <c r="R334" s="24" t="s">
        <v>93</v>
      </c>
      <c r="S334" s="169">
        <f t="shared" si="100"/>
        <v>87909</v>
      </c>
      <c r="T334" s="64"/>
      <c r="U334" s="64"/>
      <c r="W334" s="164">
        <f t="shared" si="102"/>
        <v>87909</v>
      </c>
    </row>
    <row r="335" spans="15:23" ht="12.75">
      <c r="O335" s="267"/>
      <c r="P335" s="249"/>
      <c r="Q335" s="249"/>
      <c r="R335" s="24" t="s">
        <v>96</v>
      </c>
      <c r="S335" s="169">
        <f t="shared" si="100"/>
        <v>92254</v>
      </c>
      <c r="T335" s="64"/>
      <c r="U335" s="64"/>
      <c r="W335" s="164">
        <f t="shared" si="102"/>
        <v>92254</v>
      </c>
    </row>
    <row r="336" spans="15:23" ht="12.75">
      <c r="O336" s="267"/>
      <c r="P336" s="249"/>
      <c r="Q336" s="249"/>
      <c r="R336" s="24" t="s">
        <v>98</v>
      </c>
      <c r="S336" s="169">
        <f t="shared" si="100"/>
        <v>103795</v>
      </c>
      <c r="T336" s="64"/>
      <c r="U336" s="64"/>
      <c r="W336" s="164">
        <f t="shared" si="102"/>
        <v>103795</v>
      </c>
    </row>
    <row r="337" spans="15:23" ht="12.75">
      <c r="O337" s="267"/>
      <c r="P337" s="240" t="s">
        <v>187</v>
      </c>
      <c r="Q337" s="249"/>
      <c r="R337" s="24" t="s">
        <v>86</v>
      </c>
      <c r="S337" s="169">
        <f t="shared" si="100"/>
        <v>70689</v>
      </c>
      <c r="T337" s="64"/>
      <c r="U337" s="64"/>
      <c r="W337" s="164">
        <f aca="true" t="shared" si="103" ref="W337:W342">W87</f>
        <v>70689</v>
      </c>
    </row>
    <row r="338" spans="15:23" ht="12.75">
      <c r="O338" s="267"/>
      <c r="P338" s="243"/>
      <c r="Q338" s="249"/>
      <c r="R338" s="24" t="s">
        <v>88</v>
      </c>
      <c r="S338" s="169">
        <f t="shared" si="100"/>
        <v>75119</v>
      </c>
      <c r="T338" s="64"/>
      <c r="U338" s="64"/>
      <c r="W338" s="164">
        <f t="shared" si="103"/>
        <v>75119</v>
      </c>
    </row>
    <row r="339" spans="15:23" ht="12.75">
      <c r="O339" s="267"/>
      <c r="P339" s="243"/>
      <c r="Q339" s="249"/>
      <c r="R339" s="24" t="s">
        <v>92</v>
      </c>
      <c r="S339" s="169">
        <f t="shared" si="100"/>
        <v>86144</v>
      </c>
      <c r="T339" s="64"/>
      <c r="U339" s="64"/>
      <c r="W339" s="164">
        <f t="shared" si="103"/>
        <v>86144</v>
      </c>
    </row>
    <row r="340" spans="15:23" ht="12.75">
      <c r="O340" s="267"/>
      <c r="P340" s="243"/>
      <c r="Q340" s="249"/>
      <c r="R340" s="24" t="s">
        <v>93</v>
      </c>
      <c r="S340" s="169">
        <f t="shared" si="100"/>
        <v>75364</v>
      </c>
      <c r="T340" s="64"/>
      <c r="U340" s="64"/>
      <c r="W340" s="164">
        <f t="shared" si="103"/>
        <v>75364</v>
      </c>
    </row>
    <row r="341" spans="15:23" ht="12.75">
      <c r="O341" s="267"/>
      <c r="P341" s="243"/>
      <c r="Q341" s="249"/>
      <c r="R341" s="24" t="s">
        <v>96</v>
      </c>
      <c r="S341" s="169">
        <f t="shared" si="100"/>
        <v>79710</v>
      </c>
      <c r="T341" s="64"/>
      <c r="U341" s="64"/>
      <c r="W341" s="164">
        <f t="shared" si="103"/>
        <v>79710</v>
      </c>
    </row>
    <row r="342" spans="15:23" ht="12.75">
      <c r="O342" s="267"/>
      <c r="P342" s="241"/>
      <c r="Q342" s="249"/>
      <c r="R342" s="24" t="s">
        <v>98</v>
      </c>
      <c r="S342" s="169">
        <f t="shared" si="100"/>
        <v>91252</v>
      </c>
      <c r="T342" s="64"/>
      <c r="U342" s="64"/>
      <c r="W342" s="164">
        <f t="shared" si="103"/>
        <v>91252</v>
      </c>
    </row>
    <row r="360" spans="1:2" ht="12.75">
      <c r="A360" s="254" t="s">
        <v>114</v>
      </c>
      <c r="B360" s="255"/>
    </row>
    <row r="361" spans="1:2" ht="12.75">
      <c r="A361" s="34" t="s">
        <v>155</v>
      </c>
      <c r="B361" s="35">
        <v>0</v>
      </c>
    </row>
    <row r="362" spans="1:2" ht="12.75">
      <c r="A362" s="34" t="s">
        <v>159</v>
      </c>
      <c r="B362" s="35">
        <v>0</v>
      </c>
    </row>
    <row r="363" spans="1:2" ht="12.75">
      <c r="A363" s="36" t="s">
        <v>34</v>
      </c>
      <c r="B363" s="35">
        <v>0</v>
      </c>
    </row>
  </sheetData>
  <sheetProtection selectLockedCells="1" selectUnlockedCells="1"/>
  <mergeCells count="114">
    <mergeCell ref="T6:T8"/>
    <mergeCell ref="T37:T61"/>
    <mergeCell ref="A47:A59"/>
    <mergeCell ref="A60:A61"/>
    <mergeCell ref="D6:D7"/>
    <mergeCell ref="K6:K7"/>
    <mergeCell ref="T9:T36"/>
    <mergeCell ref="H6:J6"/>
    <mergeCell ref="M6:M7"/>
    <mergeCell ref="A5:B7"/>
    <mergeCell ref="A37:A46"/>
    <mergeCell ref="P6:R7"/>
    <mergeCell ref="C5:O5"/>
    <mergeCell ref="A8:B8"/>
    <mergeCell ref="P5:T5"/>
    <mergeCell ref="A71:A72"/>
    <mergeCell ref="O87:O92"/>
    <mergeCell ref="A97:B100"/>
    <mergeCell ref="C99:C100"/>
    <mergeCell ref="I99:I100"/>
    <mergeCell ref="C97:R97"/>
    <mergeCell ref="A2:R2"/>
    <mergeCell ref="C6:C7"/>
    <mergeCell ref="N6:N7"/>
    <mergeCell ref="O6:O7"/>
    <mergeCell ref="E6:G6"/>
    <mergeCell ref="A62:B62"/>
    <mergeCell ref="L6:L7"/>
    <mergeCell ref="A4:N4"/>
    <mergeCell ref="S6:S7"/>
    <mergeCell ref="S9:S36"/>
    <mergeCell ref="S37:S61"/>
    <mergeCell ref="A101:B101"/>
    <mergeCell ref="A140:A152"/>
    <mergeCell ref="A159:B159"/>
    <mergeCell ref="A211:A212"/>
    <mergeCell ref="A188:A197"/>
    <mergeCell ref="A198:A210"/>
    <mergeCell ref="S99:S100"/>
    <mergeCell ref="S130:S154"/>
    <mergeCell ref="A73:A74"/>
    <mergeCell ref="F99:F100"/>
    <mergeCell ref="G99:G100"/>
    <mergeCell ref="H99:H100"/>
    <mergeCell ref="E99:E100"/>
    <mergeCell ref="A96:R96"/>
    <mergeCell ref="K99:M99"/>
    <mergeCell ref="N99:P99"/>
    <mergeCell ref="O71:O75"/>
    <mergeCell ref="O76:O79"/>
    <mergeCell ref="O80:O86"/>
    <mergeCell ref="P71:P92"/>
    <mergeCell ref="C98:R98"/>
    <mergeCell ref="H255:H256"/>
    <mergeCell ref="I255:I256"/>
    <mergeCell ref="J255:J256"/>
    <mergeCell ref="K255:M255"/>
    <mergeCell ref="G255:G256"/>
    <mergeCell ref="P224:P226"/>
    <mergeCell ref="A130:A139"/>
    <mergeCell ref="A153:A154"/>
    <mergeCell ref="A156:B158"/>
    <mergeCell ref="H158:J158"/>
    <mergeCell ref="A252:N252"/>
    <mergeCell ref="K158:M158"/>
    <mergeCell ref="C157:G157"/>
    <mergeCell ref="Q255:S256"/>
    <mergeCell ref="C253:S253"/>
    <mergeCell ref="C254:S254"/>
    <mergeCell ref="Q322:Q342"/>
    <mergeCell ref="P327:P330"/>
    <mergeCell ref="P331:P336"/>
    <mergeCell ref="P337:P342"/>
    <mergeCell ref="A329:B329"/>
    <mergeCell ref="P322:P326"/>
    <mergeCell ref="A321:B321"/>
    <mergeCell ref="O313:O342"/>
    <mergeCell ref="A309:A310"/>
    <mergeCell ref="A314:B315"/>
    <mergeCell ref="A316:B317"/>
    <mergeCell ref="A313:B313"/>
    <mergeCell ref="A286:A295"/>
    <mergeCell ref="A296:A308"/>
    <mergeCell ref="A257:B257"/>
    <mergeCell ref="D255:D256"/>
    <mergeCell ref="A253:B256"/>
    <mergeCell ref="N255:P255"/>
    <mergeCell ref="E255:E256"/>
    <mergeCell ref="F255:F256"/>
    <mergeCell ref="C255:C256"/>
    <mergeCell ref="A360:B360"/>
    <mergeCell ref="A322:B323"/>
    <mergeCell ref="A324:B325"/>
    <mergeCell ref="A326:B326"/>
    <mergeCell ref="A327:B327"/>
    <mergeCell ref="A319:B319"/>
    <mergeCell ref="A328:B328"/>
    <mergeCell ref="A320:B320"/>
    <mergeCell ref="A318:B318"/>
    <mergeCell ref="T99:T100"/>
    <mergeCell ref="T130:T154"/>
    <mergeCell ref="S102:S129"/>
    <mergeCell ref="T102:T129"/>
    <mergeCell ref="C62:T62"/>
    <mergeCell ref="Q224:Q247"/>
    <mergeCell ref="P227:P229"/>
    <mergeCell ref="P230:P238"/>
    <mergeCell ref="P239:P247"/>
    <mergeCell ref="D99:D100"/>
    <mergeCell ref="J99:J100"/>
    <mergeCell ref="H157:M157"/>
    <mergeCell ref="C156:M156"/>
    <mergeCell ref="O216:O247"/>
    <mergeCell ref="N64:N92"/>
  </mergeCells>
  <dataValidations count="4">
    <dataValidation type="list" allowBlank="1" showInputMessage="1" showErrorMessage="1" sqref="E78:G78">
      <formula1>"да, нет"</formula1>
    </dataValidation>
    <dataValidation type="list" allowBlank="1" showInputMessage="1" showErrorMessage="1" sqref="E79:G79">
      <formula1>HLSYI</formula1>
    </dataValidation>
    <dataValidation type="decimal" operator="lessThanOrEqual" allowBlank="1" showInputMessage="1" showErrorMessage="1" sqref="H72:J72">
      <formula1>3</formula1>
    </dataValidation>
    <dataValidation type="list" allowBlank="1" showInputMessage="1" showErrorMessage="1" sqref="E80:G80">
      <formula1>KJBEH</formula1>
    </dataValidation>
  </dataValidations>
  <printOptions horizontalCentered="1"/>
  <pageMargins left="0" right="0" top="0.4724409448818898" bottom="0" header="0" footer="0"/>
  <pageSetup fitToHeight="1" fitToWidth="1" horizontalDpi="300" verticalDpi="300" orientation="landscape" paperSize="9" scale="19" r:id="rId2"/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oudovenko</dc:creator>
  <cp:keywords/>
  <dc:description/>
  <cp:lastModifiedBy>lvrjaboshapchenko</cp:lastModifiedBy>
  <cp:lastPrinted>2022-05-05T09:03:49Z</cp:lastPrinted>
  <dcterms:created xsi:type="dcterms:W3CDTF">2021-04-27T05:53:55Z</dcterms:created>
  <dcterms:modified xsi:type="dcterms:W3CDTF">2023-07-24T05:19:27Z</dcterms:modified>
  <cp:category/>
  <cp:version/>
  <cp:contentType/>
  <cp:contentStatus/>
</cp:coreProperties>
</file>